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Default Extension="vml" ContentType="application/vnd.openxmlformats-officedocument.vmlDrawing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520" yWindow="65521" windowWidth="12585" windowHeight="10920" tabRatio="866" firstSheet="9" activeTab="22"/>
  </bookViews>
  <sheets>
    <sheet name="23" sheetId="1" state="veryHidden" r:id="rId1"/>
    <sheet name="Заголовок" sheetId="2" state="hidden" r:id="rId2"/>
    <sheet name="Справочники" sheetId="3" r:id="rId3"/>
    <sheet name="3" sheetId="4" r:id="rId4"/>
    <sheet name="3 сторонние" sheetId="5" r:id="rId5"/>
    <sheet name="4" sheetId="6" r:id="rId6"/>
    <sheet name="4 сторонние" sheetId="7" r:id="rId7"/>
    <sheet name="5" sheetId="8" r:id="rId8"/>
    <sheet name="5 сторонние" sheetId="9" r:id="rId9"/>
    <sheet name="П1.6" sheetId="10" r:id="rId10"/>
    <sheet name="1.30 год " sheetId="11" r:id="rId11"/>
    <sheet name="1.30 полугодия " sheetId="12" r:id="rId12"/>
    <sheet name="свод" sheetId="13" r:id="rId13"/>
    <sheet name="долгосроч. параметры" sheetId="14" r:id="rId14"/>
    <sheet name="Инвестиции" sheetId="15" r:id="rId15"/>
    <sheet name="16" sheetId="16" r:id="rId16"/>
    <sheet name="17" sheetId="17" r:id="rId17"/>
    <sheet name="17.1" sheetId="18" r:id="rId18"/>
    <sheet name="24" sheetId="19" r:id="rId19"/>
    <sheet name="25" sheetId="20" r:id="rId20"/>
    <sheet name="P2.1" sheetId="21" r:id="rId21"/>
    <sheet name="P2.2" sheetId="22" r:id="rId22"/>
    <sheet name="отпуск населению" sheetId="23" r:id="rId23"/>
    <sheet name="TEHSHEET" sheetId="24" state="veryHidden" r:id="rId24"/>
    <sheet name="Лист1" sheetId="25" r:id="rId25"/>
  </sheets>
  <externalReferences>
    <externalReference r:id="rId28"/>
    <externalReference r:id="rId29"/>
    <externalReference r:id="rId30"/>
  </externalReferences>
  <definedNames>
    <definedName name="GOD">'[2]Заголовок'!$B$11</definedName>
    <definedName name="H?Address">'Заголовок'!$B$7:$G$7</definedName>
    <definedName name="H?Description">'Заголовок'!$A$4</definedName>
    <definedName name="H?EntityName">'Заголовок'!$B$6:$G$6</definedName>
    <definedName name="H?Name">'Заголовок'!$G$1</definedName>
    <definedName name="H?OKATO">'Заголовок'!$D$12</definedName>
    <definedName name="H?OKFS">'Заголовок'!$G$12</definedName>
    <definedName name="H?OKOGU">'Заголовок'!$E$12</definedName>
    <definedName name="H?OKONX">'Заголовок'!$C$12</definedName>
    <definedName name="H?OKOPF">'Заголовок'!$F$12</definedName>
    <definedName name="H?OKPO">'Заголовок'!$A$12</definedName>
    <definedName name="H?OKVD">'Заголовок'!$B$12</definedName>
    <definedName name="H?Table">'Заголовок'!$A$6:$G$16</definedName>
    <definedName name="H?Title">'Заголовок'!$A$2</definedName>
    <definedName name="NET_INV">'TEHSHEET'!$A$102:$AE$104</definedName>
    <definedName name="NET_ORG">'TEHSHEET'!$A$92:$AE$96</definedName>
    <definedName name="NET_W">'TEHSHEET'!$A$108:$AE$108</definedName>
    <definedName name="P1_ESO_PROT" hidden="1">#REF!,#REF!,#REF!,#REF!,#REF!,#REF!,#REF!,#REF!</definedName>
    <definedName name="P1_SBT_PROT" hidden="1">#REF!,#REF!,#REF!,#REF!,#REF!,#REF!,#REF!</definedName>
    <definedName name="P1_SCOPE_16_PRT" localSheetId="10" hidden="1">'[3]16'!$E$15:$K$16,'[3]16'!$E$18:$K$20,'[3]16'!$E$23:$K$23,'[3]16'!$E$26:$K$26,'[3]16'!$E$29:$K$29,'[3]16'!$E$32:$K$32,'[3]16'!$E$35:$K$35,'[3]16'!$B$34,'[3]16'!$B$37</definedName>
    <definedName name="P1_SCOPE_16_PRT" localSheetId="11" hidden="1">'[3]16'!$E$15:$K$16,'[3]16'!$E$18:$K$20,'[3]16'!$E$23:$K$23,'[3]16'!$E$26:$K$26,'[3]16'!$E$29:$K$29,'[3]16'!$E$32:$K$32,'[3]16'!$E$35:$K$35,'[3]16'!$B$34,'[3]16'!$B$37</definedName>
    <definedName name="P1_SCOPE_16_PRT" hidden="1">'16'!$E$15:$K$16,'16'!$E$18:$K$20,'16'!$E$23:$K$23,'16'!$E$26:$K$26,'16'!$E$29:$K$29,'16'!$E$32:$K$32,'16'!$E$35:$K$35,'16'!$B$34,'16'!$B$37</definedName>
    <definedName name="P1_SCOPE_17_PRT" localSheetId="10" hidden="1">'[3]17'!$E$13:$H$21,'[3]17'!$J$9:$J$11,'[3]17'!$J$13:$J$21,'[3]17'!$E$24:$H$26,'[3]17'!$E$28:$H$36,'[3]17'!$J$24:$M$26,'[3]17'!$J$28:$M$36,'[3]17'!$E$39:$H$41</definedName>
    <definedName name="P1_SCOPE_17_PRT" localSheetId="11" hidden="1">'[3]17'!$E$13:$H$21,'[3]17'!$J$9:$J$11,'[3]17'!$J$13:$J$21,'[3]17'!$E$24:$H$26,'[3]17'!$E$28:$H$36,'[3]17'!$J$24:$M$26,'[3]17'!$J$28:$M$36,'[3]17'!$E$39:$H$41</definedName>
    <definedName name="P1_SCOPE_17_PRT" hidden="1">'17'!$E$13:$H$21,'17'!$J$9:$J$11,'17'!$J$13:$J$21,'17'!$E$24:$H$26,'17'!$E$28:$H$36,'17'!$J$24:$M$26,'17'!$J$28:$M$36,'17'!$E$39:$H$41</definedName>
    <definedName name="P1_SCOPE_4_PRT" localSheetId="10" hidden="1">'[3]4'!$F$23:$I$23,'[3]4'!$F$25:$I$25,'[3]4'!$F$27:$I$31,'[3]4'!$K$14:$N$20,'[3]4'!$K$23:$N$23,'[3]4'!$K$25:$N$25,'[3]4'!$K$27:$N$31,'[3]4'!$P$14:$S$20,'[3]4'!$P$23:$S$23</definedName>
    <definedName name="P1_SCOPE_4_PRT" localSheetId="11" hidden="1">'[3]4'!$F$23:$I$23,'[3]4'!$F$25:$I$25,'[3]4'!$F$27:$I$31,'[3]4'!$K$14:$N$20,'[3]4'!$K$23:$N$23,'[3]4'!$K$25:$N$25,'[3]4'!$K$27:$N$31,'[3]4'!$P$14:$S$20,'[3]4'!$P$23:$S$23</definedName>
    <definedName name="P1_SCOPE_4_PRT" localSheetId="6" hidden="1">'4 сторонние'!$F$23:$I$23,'4 сторонние'!$F$25:$I$25,'4 сторонние'!$F$27:$I$31,'4 сторонние'!$K$14:$N$20,'4 сторонние'!$K$23:$N$23,'4 сторонние'!$K$25:$N$25,'4 сторонние'!$K$27:$N$31,'4 сторонние'!$P$14:$S$20,'4 сторонние'!$P$23:$S$23</definedName>
    <definedName name="P1_SCOPE_4_PRT" hidden="1">'4'!$F$23:$I$23,'4'!$F$25:$I$25,'4'!$F$27:$I$31,'4'!$K$14:$N$20,'4'!$K$23:$N$23,'4'!$K$25:$N$25,'4'!$K$27:$N$31,'4'!$P$14:$S$20,'4'!$P$23:$S$23</definedName>
    <definedName name="P1_SCOPE_5_PRT" localSheetId="10" hidden="1">'[3]5'!$F$23:$I$23,'[3]5'!$F$25:$I$25,'[3]5'!$F$27:$I$31,'[3]5'!$K$14:$N$21,'[3]5'!$K$23:$N$23,'[3]5'!$K$25:$N$25,'[3]5'!$K$27:$N$31,'[3]5'!$P$14:$S$21,'[3]5'!$P$23:$S$23</definedName>
    <definedName name="P1_SCOPE_5_PRT" localSheetId="11" hidden="1">'[3]5'!$F$23:$I$23,'[3]5'!$F$25:$I$25,'[3]5'!$F$27:$I$31,'[3]5'!$K$14:$N$21,'[3]5'!$K$23:$N$23,'[3]5'!$K$25:$N$25,'[3]5'!$K$27:$N$31,'[3]5'!$P$14:$S$21,'[3]5'!$P$23:$S$23</definedName>
    <definedName name="P1_SCOPE_5_PRT" localSheetId="8" hidden="1">'5 сторонние'!$F$23:$I$23,'5 сторонние'!$F$25:$I$25,'5 сторонние'!$F$27:$I$31,'5 сторонние'!$K$14:$N$21,'5 сторонние'!$K$23:$N$23,'5 сторонние'!$K$25:$N$25,'5 сторонние'!$K$27:$N$31,'5 сторонние'!$P$14:$S$21,'5 сторонние'!$P$23:$S$23</definedName>
    <definedName name="P1_SCOPE_5_PRT" hidden="1">'5'!$F$23:$I$23,'5'!$F$25:$I$25,'5'!$F$27:$I$31,'5'!$K$14:$N$21,'5'!$K$23:$N$23,'5'!$K$25:$N$25,'5'!$K$27:$N$31,'5'!$P$14:$S$21,'5'!$P$23:$S$23</definedName>
    <definedName name="P1_SCOPE_F1_PRT" hidden="1">#REF!,#REF!,#REF!,#REF!</definedName>
    <definedName name="P1_SCOPE_F2_PRT" hidden="1">#REF!,#REF!,#REF!,#REF!</definedName>
    <definedName name="P1_SCOPE_FLOAD" hidden="1">#REF!,#REF!,#REF!,#REF!,#REF!,#REF!</definedName>
    <definedName name="P1_SCOPE_FRML" hidden="1">#REF!,#REF!,#REF!,#REF!,#REF!,#REF!</definedName>
    <definedName name="P1_SCOPE_PER_PRT" localSheetId="10" hidden="1">'[3]отпуск населению'!$H$15:$H$19,'[3]отпуск населению'!$H$21:$H$25,'[3]отпуск населению'!$J$14:$J$25,'[3]отпуск населению'!$K$15:$K$19,'[3]отпуск населению'!$K$21:$K$25</definedName>
    <definedName name="P1_SCOPE_PER_PRT" localSheetId="11" hidden="1">'[3]отпуск населению'!$H$15:$H$19,'[3]отпуск населению'!$H$21:$H$25,'[3]отпуск населению'!$J$14:$J$25,'[3]отпуск населению'!$K$15:$K$19,'[3]отпуск населению'!$K$21:$K$25</definedName>
    <definedName name="P1_SCOPE_PER_PRT" hidden="1">'отпуск населению'!$H$15:$H$19,'отпуск населению'!$H$21:$H$25,'отпуск населению'!$J$14:$J$25,'отпуск населению'!$K$15:$K$19,'отпуск населению'!$K$21:$K$25</definedName>
    <definedName name="P1_SCOPE_SV_LD" hidden="1">#REF!,#REF!,#REF!,#REF!,#REF!,#REF!,#REF!</definedName>
    <definedName name="P1_SCOPE_SV_LD1" localSheetId="10" hidden="1">'[3]свод'!$E$70:$T$79,'[3]свод'!$E$81:$T$81,'[3]свод'!$E$83:$T$88,'[3]свод'!$E$90:$T$90,'[3]свод'!$E$92:$T$96,'[3]свод'!$E$98:$T$98,'[3]свод'!$E$101:$T$102</definedName>
    <definedName name="P1_SCOPE_SV_LD1" localSheetId="11" hidden="1">'[3]свод'!$E$70:$T$79,'[3]свод'!$E$81:$T$81,'[3]свод'!$E$83:$T$88,'[3]свод'!$E$90:$T$90,'[3]свод'!$E$92:$T$96,'[3]свод'!$E$98:$T$98,'[3]свод'!$E$101:$T$102</definedName>
    <definedName name="P1_SCOPE_SV_LD1" hidden="1">'свод'!$E$70:$T$79,'свод'!$E$81:$T$81,'свод'!$E$83:$T$88,'свод'!$E$90:$T$90,'свод'!$E$92:$T$96,'свод'!$E$98:$T$98,'свод'!$E$101:$T$102</definedName>
    <definedName name="P1_SCOPE_SV_PRT" localSheetId="10" hidden="1">'[3]свод'!$E$23:$L$26,'[3]свод'!$E$28:$M$29,'[3]свод'!$E$32:$M$36,'[3]свод'!$E$38:$M$40,'[3]свод'!$E$42:$M$53,'[3]свод'!$E$55:$M$56,'[3]свод'!$E$58:$M$63</definedName>
    <definedName name="P1_SCOPE_SV_PRT" localSheetId="11" hidden="1">'[3]свод'!$E$23:$L$26,'[3]свод'!$E$28:$M$29,'[3]свод'!$E$32:$M$36,'[3]свод'!$E$38:$M$40,'[3]свод'!$E$42:$M$53,'[3]свод'!$E$55:$M$56,'[3]свод'!$E$58:$M$63</definedName>
    <definedName name="P1_SCOPE_SV_PRT" hidden="1">'свод'!$E$23:$L$26,'свод'!$E$28:$M$29,'свод'!$E$32:$M$36,'свод'!$E$38:$M$40,'свод'!$E$42:$M$53,'свод'!$E$55:$M$56,'свод'!$E$58:$M$63</definedName>
    <definedName name="P1_SET_PROT" localSheetId="11" hidden="1">#REF!,#REF!,#REF!,#REF!,#REF!,#REF!,#REF!</definedName>
    <definedName name="P1_SET_PROT" localSheetId="4" hidden="1">#REF!,#REF!,#REF!,#REF!,#REF!,#REF!,#REF!</definedName>
    <definedName name="P1_SET_PROT" localSheetId="6" hidden="1">#REF!,#REF!,#REF!,#REF!,#REF!,#REF!,#REF!</definedName>
    <definedName name="P1_SET_PROT" localSheetId="8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SCOPE_16_PRT" localSheetId="10" hidden="1">'[3]16'!$E$38:$K$38,'[3]16'!$E$41:$K$41,'[3]16'!$E$45:$K$47,'[3]16'!$E$49:$K$49,'[3]16'!$E$53:$K$54,'[3]16'!$E$56:$K$57,'[3]16'!$E$59:$K$59,'[3]16'!$E$9:$K$13</definedName>
    <definedName name="P2_SCOPE_16_PRT" localSheetId="11" hidden="1">'[3]16'!$E$38:$K$38,'[3]16'!$E$41:$K$41,'[3]16'!$E$45:$K$47,'[3]16'!$E$49:$K$49,'[3]16'!$E$53:$K$54,'[3]16'!$E$56:$K$57,'[3]16'!$E$59:$K$59,'[3]16'!$E$9:$K$13</definedName>
    <definedName name="P2_SCOPE_16_PRT" hidden="1">'16'!$E$38:$K$38,'16'!$E$41:$K$41,'16'!$E$45:$K$47,'16'!$E$49:$K$49,'16'!$E$53:$K$54,'16'!$E$56:$K$57,'16'!$E$59:$K$59,'16'!$E$9:$K$13</definedName>
    <definedName name="P2_SCOPE_4_PRT" localSheetId="10" hidden="1">'[3]4'!$P$25:$S$25,'[3]4'!$P$27:$S$31,'[3]4'!$U$14:$X$20,'[3]4'!$U$23:$X$23,'[3]4'!$U$25:$X$25,'[3]4'!$U$27:$X$31,'[3]4'!$Z$14:$AC$20,'[3]4'!$Z$23:$AC$23,'[3]4'!$Z$25:$AC$25</definedName>
    <definedName name="P2_SCOPE_4_PRT" localSheetId="11" hidden="1">'[3]4'!$P$25:$S$25,'[3]4'!$P$27:$S$31,'[3]4'!$U$14:$X$20,'[3]4'!$U$23:$X$23,'[3]4'!$U$25:$X$25,'[3]4'!$U$27:$X$31,'[3]4'!$Z$14:$AC$20,'[3]4'!$Z$23:$AC$23,'[3]4'!$Z$25:$AC$25</definedName>
    <definedName name="P2_SCOPE_4_PRT" localSheetId="6" hidden="1">'4 сторонние'!$P$25:$S$25,'4 сторонние'!$P$27:$S$31,'4 сторонние'!$U$14:$X$20,'4 сторонние'!$U$23:$X$23,'4 сторонние'!$U$25:$X$25,'4 сторонние'!$U$27:$X$31,'4 сторонние'!$Z$14:$AC$20,'4 сторонние'!$Z$23:$AC$23,'4 сторонние'!$Z$25:$AC$25</definedName>
    <definedName name="P2_SCOPE_4_PRT" hidden="1">'4'!$P$25:$S$25,'4'!$P$27:$S$31,'4'!$U$14:$X$20,'4'!$U$23:$X$23,'4'!$U$25:$X$25,'4'!$U$27:$X$31,'4'!$Z$14:$AC$20,'4'!$Z$23:$AC$23,'4'!$Z$25:$AC$25</definedName>
    <definedName name="P2_SCOPE_5_PRT" localSheetId="10" hidden="1">'[3]5'!$P$25:$S$25,'[3]5'!$P$27:$S$31,'[3]5'!$U$14:$X$21,'[3]5'!$U$23:$X$23,'[3]5'!$U$25:$X$25,'[3]5'!$U$27:$X$31,'[3]5'!$Z$14:$AC$21,'[3]5'!$Z$23:$AC$23,'[3]5'!$Z$25:$AC$25</definedName>
    <definedName name="P2_SCOPE_5_PRT" localSheetId="11" hidden="1">'[3]5'!$P$25:$S$25,'[3]5'!$P$27:$S$31,'[3]5'!$U$14:$X$21,'[3]5'!$U$23:$X$23,'[3]5'!$U$25:$X$25,'[3]5'!$U$27:$X$31,'[3]5'!$Z$14:$AC$21,'[3]5'!$Z$23:$AC$23,'[3]5'!$Z$25:$AC$25</definedName>
    <definedName name="P2_SCOPE_5_PRT" localSheetId="8" hidden="1">'5 сторонние'!$P$25:$S$25,'5 сторонние'!$P$27:$S$31,'5 сторонние'!$U$14:$X$21,'5 сторонние'!$U$23:$X$23,'5 сторонние'!$U$25:$X$25,'5 сторонние'!$U$27:$X$31,'5 сторонние'!$Z$14:$AC$21,'5 сторонние'!$Z$23:$AC$23,'5 сторонние'!$Z$25:$AC$25</definedName>
    <definedName name="P2_SCOPE_5_PRT" hidden="1">'5'!$P$25:$S$25,'5'!$P$27:$S$31,'5'!$U$14:$X$21,'5'!$U$23:$X$23,'5'!$U$25:$X$25,'5'!$U$27:$X$31,'5'!$Z$14:$AC$21,'5'!$Z$23:$AC$23,'5'!$Z$25:$AC$25</definedName>
    <definedName name="P2_SCOPE_F1_PRT" hidden="1">#REF!,#REF!,#REF!,#REF!</definedName>
    <definedName name="P2_SCOPE_F2_PRT" hidden="1">#REF!,#REF!,#REF!,#REF!</definedName>
    <definedName name="P2_SCOPE_PER_PRT" localSheetId="10" hidden="1">'[3]отпуск населению'!$N$14:$N$25,'[3]отпуск населению'!$N$27:$N$31,'[3]отпуск населению'!$J$27:$K$31,'[3]отпуск населению'!$F$27:$H$31,'[3]отпуск населению'!$F$33:$H$37</definedName>
    <definedName name="P2_SCOPE_PER_PRT" localSheetId="11" hidden="1">'[3]отпуск населению'!$N$14:$N$25,'[3]отпуск населению'!$N$27:$N$31,'[3]отпуск населению'!$J$27:$K$31,'[3]отпуск населению'!$F$27:$H$31,'[3]отпуск населению'!$F$33:$H$37</definedName>
    <definedName name="P2_SCOPE_PER_PRT" hidden="1">'отпуск населению'!$N$14:$N$25,'отпуск населению'!$N$27:$N$31,'отпуск населению'!$J$27:$K$31,'отпуск населению'!$F$27:$H$31,'отпуск населению'!$F$33:$H$37</definedName>
    <definedName name="P2_SCOPE_SV_PRT" localSheetId="10" hidden="1">'[3]свод'!$E$72:$M$79,'[3]свод'!$E$81:$M$81,'[3]свод'!$E$85:$L$88,'[3]свод'!$E$90:$M$90,'[3]свод'!$E$107:$M$112,'[3]свод'!$E$114:$M$117,'[3]свод'!$E$124:$L$127</definedName>
    <definedName name="P2_SCOPE_SV_PRT" localSheetId="11" hidden="1">'[3]свод'!$E$72:$M$79,'[3]свод'!$E$81:$M$81,'[3]свод'!$E$85:$L$88,'[3]свод'!$E$90:$M$90,'[3]свод'!$E$107:$M$112,'[3]свод'!$E$114:$M$117,'[3]свод'!$E$124:$L$127</definedName>
    <definedName name="P2_SCOPE_SV_PRT" hidden="1">'свод'!$E$72:$M$79,'свод'!$E$81:$M$81,'свод'!$E$85:$L$88,'свод'!$E$90:$M$90,'свод'!$E$107:$M$112,'свод'!$E$114:$M$117,'свод'!$E$124:$L$127</definedName>
    <definedName name="P3_SCOPE_F1_PRT" hidden="1">#REF!,#REF!,#REF!,#REF!</definedName>
    <definedName name="P3_SCOPE_PER_PRT" localSheetId="10" hidden="1">'[3]отпуск населению'!$J$33:$K$37,'[3]отпуск населению'!$N$33:$N$37,'[3]отпуск населению'!$F$39:$H$43,'[3]отпуск населению'!$J$39:$K$43,'[3]отпуск населению'!$N$39:$N$43</definedName>
    <definedName name="P3_SCOPE_PER_PRT" localSheetId="11" hidden="1">'[3]отпуск населению'!$J$33:$K$37,'[3]отпуск населению'!$N$33:$N$37,'[3]отпуск населению'!$F$39:$H$43,'[3]отпуск населению'!$J$39:$K$43,'[3]отпуск населению'!$N$39:$N$43</definedName>
    <definedName name="P3_SCOPE_PER_PRT" hidden="1">'отпуск населению'!$J$33:$K$37,'отпуск населению'!$N$33:$N$37,'отпуск населению'!$F$39:$H$43,'отпуск населению'!$J$39:$K$43,'отпуск населению'!$N$39:$N$43</definedName>
    <definedName name="P3_SCOPE_SV_PRT" localSheetId="10" hidden="1">'[3]свод'!$D$135:$I$135,'[3]свод'!$M$135:$M$141,'[3]свод'!$L$137:$L$141,'[3]свод'!$D$138:$I$141,'[3]свод'!$E$15:$M$16,'[3]свод'!$E$120:$M$121,'[3]свод'!$E$18:$M$19</definedName>
    <definedName name="P3_SCOPE_SV_PRT" localSheetId="11" hidden="1">'[3]свод'!$D$135:$I$135,'[3]свод'!$M$135:$M$141,'[3]свод'!$L$137:$L$141,'[3]свод'!$D$138:$I$141,'[3]свод'!$E$15:$M$16,'[3]свод'!$E$120:$M$121,'[3]свод'!$E$18:$M$19</definedName>
    <definedName name="P3_SCOPE_SV_PRT" hidden="1">'свод'!$D$135:$I$135,'свод'!$M$135:$M$141,'свод'!$L$137:$L$141,'свод'!$D$138:$I$141,'свод'!$E$15:$M$16,'свод'!$E$120:$M$121,'свод'!$E$18:$M$19</definedName>
    <definedName name="P4_SCOPE_F1_PRT" hidden="1">#REF!,#REF!,#REF!,#REF!</definedName>
    <definedName name="P4_SCOPE_PER_PRT" localSheetId="10" hidden="1">'[3]отпуск населению'!$F$45:$H$49,'[3]отпуск населению'!$J$45:$K$49,'[3]отпуск населению'!$N$45:$N$49,'[3]отпуск населению'!$F$94:$G$117,'[3]отпуск населению'!$H$95:$H$99</definedName>
    <definedName name="P4_SCOPE_PER_PRT" localSheetId="11" hidden="1">'[3]отпуск населению'!$F$45:$H$49,'[3]отпуск населению'!$J$45:$K$49,'[3]отпуск населению'!$N$45:$N$49,'[3]отпуск населению'!$F$94:$G$117,'[3]отпуск населению'!$H$95:$H$99</definedName>
    <definedName name="P4_SCOPE_PER_PRT" hidden="1">'отпуск населению'!$F$45:$H$49,'отпуск населению'!$J$45:$K$49,'отпуск населению'!$N$45:$N$49,'отпуск населению'!$F$94:$G$117,'отпуск населению'!$H$95:$H$99</definedName>
    <definedName name="P5_SCOPE_PER_PRT" localSheetId="10" hidden="1">'[3]отпуск населению'!$H$113:$H$117,'[3]отпуск населению'!$J$94:$J$117,'[3]отпуск населению'!$K$95:$K$99,'[3]отпуск населению'!$K$113:$K$117,'[3]отпуск населению'!$N$94:$N$117</definedName>
    <definedName name="P5_SCOPE_PER_PRT" localSheetId="11" hidden="1">'[3]отпуск населению'!$H$113:$H$117,'[3]отпуск населению'!$J$94:$J$117,'[3]отпуск населению'!$K$95:$K$99,'[3]отпуск населению'!$K$113:$K$117,'[3]отпуск населению'!$N$94:$N$117</definedName>
    <definedName name="P5_SCOPE_PER_PRT" hidden="1">'отпуск населению'!$H$113:$H$117,'отпуск населению'!$J$94:$J$117,'отпуск населению'!$K$95:$K$99,'отпуск населению'!$K$113:$K$117,'отпуск населению'!$N$94:$N$117</definedName>
    <definedName name="P6_SCOPE_PER_PRT" localSheetId="10" hidden="1">'[3]отпуск населению'!$F$131:$H$135,'[3]отпуск населению'!$J$131:$K$135,'[3]отпуск населению'!$N$131:$N$135,'[3]отпуск населению'!$F$149:$H$153,'[3]отпуск населению'!$J$149:$K$153</definedName>
    <definedName name="P6_SCOPE_PER_PRT" localSheetId="11" hidden="1">'[3]отпуск населению'!$F$131:$H$135,'[3]отпуск населению'!$J$131:$K$135,'[3]отпуск населению'!$N$131:$N$135,'[3]отпуск населению'!$F$149:$H$153,'[3]отпуск населению'!$J$149:$K$153</definedName>
    <definedName name="P6_SCOPE_PER_PRT" hidden="1">'отпуск населению'!$F$131:$H$135,'отпуск населению'!$J$131:$K$135,'отпуск населению'!$N$131:$N$135,'отпуск населению'!$F$149:$H$153,'отпуск населению'!$J$149:$K$153</definedName>
    <definedName name="P7_SCOPE_PER_PRT" localSheetId="10" hidden="1">'[3]отпуск населению'!$N$149:$N$153,'[3]отпуск населению'!$F$167:$H$171,'[3]отпуск населению'!$J$167:$K$171,'[3]отпуск населению'!$N$167:$N$171,'[3]отпуск населению'!$F$173:$H$177</definedName>
    <definedName name="P7_SCOPE_PER_PRT" localSheetId="11" hidden="1">'[3]отпуск населению'!$N$149:$N$153,'[3]отпуск населению'!$F$167:$H$171,'[3]отпуск населению'!$J$167:$K$171,'[3]отпуск населению'!$N$167:$N$171,'[3]отпуск населению'!$F$173:$H$177</definedName>
    <definedName name="P7_SCOPE_PER_PRT" hidden="1">'отпуск населению'!$N$149:$N$153,'отпуск населению'!$F$167:$H$171,'отпуск населению'!$J$167:$K$171,'отпуск населению'!$N$167:$N$171,'отпуск населению'!$F$173:$H$177</definedName>
    <definedName name="P8_SCOPE_PER_PRT" localSheetId="10" hidden="1">'[3]отпуск населению'!$J$173:$K$177,'[3]отпуск населению'!$N$173:$N$177,'[3]отпуск населению'!$F$14:$G$25,'1.30 год '!P1_SCOPE_PER_PRT,'1.30 год '!P2_SCOPE_PER_PRT,'1.30 год '!P3_SCOPE_PER_PRT,'1.30 год '!P4_SCOPE_PER_PRT</definedName>
    <definedName name="P8_SCOPE_PER_PRT" localSheetId="11" hidden="1">'[3]отпуск населению'!$J$173:$K$177,'[3]отпуск населению'!$N$173:$N$177,'[3]отпуск населению'!$F$14:$G$25,'1.30 полугодия '!P1_SCOPE_PER_PRT,'1.30 полугодия '!P2_SCOPE_PER_PRT,'1.30 полугодия '!P3_SCOPE_PER_PRT,'1.30 полугодия '!P4_SCOPE_PER_PRT</definedName>
    <definedName name="P8_SCOPE_PER_PRT" hidden="1">'отпуск населению'!$J$173:$K$177,'отпуск населению'!$N$173:$N$177,'отпуск населению'!$F$14:$G$25,P1_SCOPE_PER_PRT,P2_SCOPE_PER_PRT,P3_SCOPE_PER_PRT,P4_SCOPE_PER_PRT</definedName>
    <definedName name="REGIONS" localSheetId="10">'[3]TEHSHEET'!$C$6:$C$89</definedName>
    <definedName name="REGIONS" localSheetId="11">'[3]TEHSHEET'!$C$6:$C$89</definedName>
    <definedName name="REGIONS">'TEHSHEET'!$C$6:$C$89</definedName>
    <definedName name="SCENARIOS" localSheetId="10">'[3]TEHSHEET'!$K$6:$K$7</definedName>
    <definedName name="SCENARIOS" localSheetId="11">'[3]TEHSHEET'!$K$6:$K$7</definedName>
    <definedName name="SCENARIOS">'TEHSHEET'!$K$6:$K$7</definedName>
    <definedName name="SCOPE_16_LD">'16'!$E$9:$R$59</definedName>
    <definedName name="SCOPE_16_PRT" localSheetId="10">'1.30 год '!P1_SCOPE_16_PRT,'1.30 год '!P2_SCOPE_16_PRT</definedName>
    <definedName name="SCOPE_16_PRT" localSheetId="11">'1.30 полугодия '!P1_SCOPE_16_PRT,'1.30 полугодия '!P2_SCOPE_16_PRT</definedName>
    <definedName name="SCOPE_16_PRT">P1_SCOPE_16_PRT,P2_SCOPE_16_PRT</definedName>
    <definedName name="SCOPE_17.1_LD">'17.1'!$D$7:$I$27</definedName>
    <definedName name="SCOPE_17.1_PRT" localSheetId="10">'[3]17.1'!$D$14:$F$17,'[3]17.1'!$D$19:$F$22,'[3]17.1'!$I$9:$I$12,'[3]17.1'!$I$14:$I$17,'[3]17.1'!$I$19:$I$22,'[3]17.1'!$D$9:$F$12</definedName>
    <definedName name="SCOPE_17.1_PRT" localSheetId="11">'[3]17.1'!$D$14:$F$17,'[3]17.1'!$D$19:$F$22,'[3]17.1'!$I$9:$I$12,'[3]17.1'!$I$14:$I$17,'[3]17.1'!$I$19:$I$22,'[3]17.1'!$D$9:$F$12</definedName>
    <definedName name="SCOPE_17.1_PRT">'17.1'!$D$14:$F$17,'17.1'!$D$19:$F$22,'17.1'!$I$9:$I$12,'17.1'!$I$14:$I$17,'17.1'!$I$19:$I$22,'17.1'!$D$9:$F$12</definedName>
    <definedName name="SCOPE_17_LD">'17'!$E$8:$Q$96</definedName>
    <definedName name="SCOPE_17_PRT" localSheetId="10">'[3]17'!$J$39:$M$41,'[3]17'!$E$43:$H$51,'[3]17'!$J$43:$M$51,'[3]17'!$E$54:$H$56,'[3]17'!$E$58:$H$66,'[3]17'!$E$69:$M$81,'[3]17'!$E$9:$H$11,'1.30 год '!P1_SCOPE_17_PRT</definedName>
    <definedName name="SCOPE_17_PRT" localSheetId="11">'[3]17'!$J$39:$M$41,'[3]17'!$E$43:$H$51,'[3]17'!$J$43:$M$51,'[3]17'!$E$54:$H$56,'[3]17'!$E$58:$H$66,'[3]17'!$E$69:$M$81,'[3]17'!$E$9:$H$11,'1.30 полугодия '!P1_SCOPE_17_PRT</definedName>
    <definedName name="SCOPE_17_PRT">'17'!$J$39:$M$41,'17'!$E$43:$H$51,'17'!$J$43:$M$51,'17'!$E$54:$H$56,'17'!$E$58:$H$66,'17'!$E$69:$M$81,'17'!$E$9:$H$11,P1_SCOPE_17_PRT</definedName>
    <definedName name="SCOPE_2.1_LD">'P2.1'!$H$8:$J$45</definedName>
    <definedName name="SCOPE_2.1_PRT">'P2.1'!$H$8:$I$45</definedName>
    <definedName name="SCOPE_2.2_LD">'P2.2'!$G$8:$I$53</definedName>
    <definedName name="SCOPE_2.2_PRT">'P2.2'!$G$8:$H$53</definedName>
    <definedName name="SCOPE_24_LD" localSheetId="10">'[3]24'!$E$8:$J$47,'[3]24'!$E$49:$J$66</definedName>
    <definedName name="SCOPE_24_LD" localSheetId="11">'[3]24'!$E$8:$J$47,'[3]24'!$E$49:$J$66</definedName>
    <definedName name="SCOPE_24_LD">'24'!$E$8:$J$47,'24'!$E$49:$J$66</definedName>
    <definedName name="SCOPE_24_PRT" localSheetId="10">'[3]24'!$E$41:$I$41,'[3]24'!$E$34:$I$34,'[3]24'!$E$36:$I$36,'[3]24'!$E$43:$I$43</definedName>
    <definedName name="SCOPE_24_PRT" localSheetId="11">'[3]24'!$E$41:$I$41,'[3]24'!$E$34:$I$34,'[3]24'!$E$36:$I$36,'[3]24'!$E$43:$I$43</definedName>
    <definedName name="SCOPE_24_PRT">'24'!$E$41:$I$41,'24'!$E$34:$I$34,'24'!$E$36:$I$36,'24'!$E$43:$I$43</definedName>
    <definedName name="SCOPE_25_LD">'25'!$E$8:$J$64</definedName>
    <definedName name="SCOPE_25_PRT" localSheetId="10">'[3]25'!$E$20:$I$20,'[3]25'!$E$34:$I$34,'[3]25'!$E$41:$I$41,'[3]25'!$E$8:$I$10</definedName>
    <definedName name="SCOPE_25_PRT" localSheetId="11">'[3]25'!$E$20:$I$20,'[3]25'!$E$34:$I$34,'[3]25'!$E$41:$I$41,'[3]25'!$E$8:$I$10</definedName>
    <definedName name="SCOPE_25_PRT">'25'!$E$20:$I$20,'25'!$E$34:$I$34,'25'!$E$41:$I$41,'25'!$E$8:$I$10</definedName>
    <definedName name="SCOPE_3_LD" localSheetId="4">'3 сторонние'!$E$7:$AJ$21</definedName>
    <definedName name="SCOPE_3_LD">'3'!$E$7:$AJ$21</definedName>
    <definedName name="SCOPE_3_PRT" localSheetId="4">'3 сторонние'!$E$8:$X$20</definedName>
    <definedName name="SCOPE_3_PRT">'3'!$E$8:$X$20</definedName>
    <definedName name="SCOPE_4_LD" localSheetId="6">'4 сторонние'!$E$11:$AR$32</definedName>
    <definedName name="SCOPE_4_LD">'4'!$E$11:$AR$32</definedName>
    <definedName name="SCOPE_4_PRT" localSheetId="10">'[3]4'!$Z$27:$AC$31,'[3]4'!$F$14:$I$20,'1.30 год '!P1_SCOPE_4_PRT,'1.30 год '!P2_SCOPE_4_PRT</definedName>
    <definedName name="SCOPE_4_PRT" localSheetId="11">'[3]4'!$Z$27:$AC$31,'[3]4'!$F$14:$I$20,'1.30 полугодия '!P1_SCOPE_4_PRT,'1.30 полугодия '!P2_SCOPE_4_PRT</definedName>
    <definedName name="SCOPE_4_PRT" localSheetId="6">'4 сторонние'!$Z$27:$AC$31,'4 сторонние'!$F$14:$I$20,'4 сторонние'!P1_SCOPE_4_PRT,'4 сторонние'!P2_SCOPE_4_PRT</definedName>
    <definedName name="SCOPE_4_PRT">'4'!$Z$27:$AC$31,'4'!$F$14:$I$20,P1_SCOPE_4_PRT,P2_SCOPE_4_PRT</definedName>
    <definedName name="SCOPE_5_LD" localSheetId="8">'5 сторонние'!$E$11:$AR$32</definedName>
    <definedName name="SCOPE_5_LD">'5'!$E$11:$AR$32</definedName>
    <definedName name="SCOPE_5_PRT" localSheetId="10">'[3]5'!$Z$27:$AC$31,'[3]5'!$F$14:$I$21,'1.30 год '!P1_SCOPE_5_PRT,'1.30 год '!P2_SCOPE_5_PRT</definedName>
    <definedName name="SCOPE_5_PRT" localSheetId="11">'[3]5'!$Z$27:$AC$31,'[3]5'!$F$14:$I$21,'1.30 полугодия '!P1_SCOPE_5_PRT,'1.30 полугодия '!P2_SCOPE_5_PRT</definedName>
    <definedName name="SCOPE_5_PRT" localSheetId="8">'5 сторонние'!$Z$27:$AC$31,'5 сторонние'!$F$14:$I$21,'5 сторонние'!P1_SCOPE_5_PRT,'5 сторонние'!P2_SCOPE_5_PRT</definedName>
    <definedName name="SCOPE_5_PRT">'5'!$Z$27:$AC$31,'5'!$F$14:$I$21,P1_SCOPE_5_PRT,P2_SCOPE_5_PRT</definedName>
    <definedName name="SCOPE_F1_PRT" localSheetId="10">#REF!,P1_SCOPE_F1_PRT,P2_SCOPE_F1_PRT,P3_SCOPE_F1_PRT,P4_SCOPE_F1_PRT</definedName>
    <definedName name="SCOPE_F1_PRT" localSheetId="11">#REF!,P1_SCOPE_F1_PRT,P2_SCOPE_F1_PRT,P3_SCOPE_F1_PRT,P4_SCOPE_F1_PRT</definedName>
    <definedName name="SCOPE_F1_PRT">#REF!,P1_SCOPE_F1_PRT,P2_SCOPE_F1_PRT,P3_SCOPE_F1_PRT,P4_SCOPE_F1_PRT</definedName>
    <definedName name="SCOPE_F2_LD1">#REF!</definedName>
    <definedName name="SCOPE_F2_LD2">#REF!</definedName>
    <definedName name="SCOPE_F2_PRT" localSheetId="10">#REF!,#REF!,#REF!,P1_SCOPE_F2_PRT,P2_SCOPE_F2_PRT</definedName>
    <definedName name="SCOPE_F2_PRT" localSheetId="11">#REF!,#REF!,#REF!,P1_SCOPE_F2_PRT,P2_SCOPE_F2_PRT</definedName>
    <definedName name="SCOPE_F2_PRT">#REF!,#REF!,#REF!,P1_SCOPE_F2_PRT,P2_SCOPE_F2_PRT</definedName>
    <definedName name="SCOPE_PER_LD">'отпуск населению'!$F$12:$O$177</definedName>
    <definedName name="SCOPE_PER_PRT" localSheetId="10">'1.30 год '!P5_SCOPE_PER_PRT,'1.30 год '!P6_SCOPE_PER_PRT,'1.30 год '!P7_SCOPE_PER_PRT,'1.30 год '!P8_SCOPE_PER_PRT</definedName>
    <definedName name="SCOPE_PER_PRT" localSheetId="11">'1.30 полугодия '!P5_SCOPE_PER_PRT,'1.30 полугодия '!P6_SCOPE_PER_PRT,'1.30 полугодия '!P7_SCOPE_PER_PRT,'1.30 полугодия '!P8_SCOPE_PER_PRT</definedName>
    <definedName name="SCOPE_PER_PRT">P5_SCOPE_PER_PRT,P6_SCOPE_PER_PRT,P7_SCOPE_PER_PRT,P8_SCOPE_PER_PRT</definedName>
    <definedName name="SCOPE_SPR_PRT" localSheetId="10">'[3]Справочники'!$D$21:$J$22,'[3]Справочники'!$E$13:$I$14,'[3]Справочники'!$F$27:$H$28</definedName>
    <definedName name="SCOPE_SPR_PRT" localSheetId="11">'[3]Справочники'!$D$21:$J$22,'[3]Справочники'!$E$13:$I$14,'[3]Справочники'!$F$27:$H$28</definedName>
    <definedName name="SCOPE_SPR_PRT">'Справочники'!$D$21:$J$22,'Справочники'!$E$13:$I$14,'Справочники'!$F$27:$H$28</definedName>
    <definedName name="SCOPE_SV_LD1" localSheetId="10">'[3]свод'!$E$104:$T$104,'[3]свод'!$E$106:$T$117,'[3]свод'!$E$120:$T$121,'[3]свод'!$E$123:$T$127,'[3]свод'!$E$10:$T$68,'1.30 год '!P1_SCOPE_SV_LD1</definedName>
    <definedName name="SCOPE_SV_LD1" localSheetId="11">'[3]свод'!$E$104:$T$104,'[3]свод'!$E$106:$T$117,'[3]свод'!$E$120:$T$121,'[3]свод'!$E$123:$T$127,'[3]свод'!$E$10:$T$68,'1.30 полугодия '!P1_SCOPE_SV_LD1</definedName>
    <definedName name="SCOPE_SV_LD1">'свод'!$E$104:$T$104,'свод'!$E$106:$T$117,'свод'!$E$120:$T$121,'свод'!$E$123:$T$127,'свод'!$E$10:$T$68,P1_SCOPE_SV_LD1</definedName>
    <definedName name="SCOPE_SV_LD2">'свод'!$D$132:$M$141</definedName>
    <definedName name="SCOPE_SV_PRT" localSheetId="10">'1.30 год '!P1_SCOPE_SV_PRT,'1.30 год '!P2_SCOPE_SV_PRT,'1.30 год '!P3_SCOPE_SV_PRT</definedName>
    <definedName name="SCOPE_SV_PRT" localSheetId="11">'1.30 полугодия '!P1_SCOPE_SV_PRT,'1.30 полугодия '!P2_SCOPE_SV_PRT,'1.30 полугодия '!P3_SCOPE_SV_PRT</definedName>
    <definedName name="SCOPE_SV_PRT">P1_SCOPE_SV_PRT,P2_SCOPE_SV_PRT,P3_SCOPE_SV_PRT</definedName>
    <definedName name="TARGET">'[1]TEHSHEET'!$I$42:$I$45</definedName>
    <definedName name="БазовыйПериод" localSheetId="10">'[3]Заголовок'!$B$15</definedName>
    <definedName name="БазовыйПериод" localSheetId="11">'[3]Заголовок'!$B$15</definedName>
    <definedName name="БазовыйПериод">'Заголовок'!$B$15</definedName>
    <definedName name="_xlnm.Print_Titles" localSheetId="10">'1.30 год '!$A:$B,'1.30 год '!$6:$8</definedName>
    <definedName name="_xlnm.Print_Titles" localSheetId="11">'1.30 полугодия '!$A:$B,'1.30 полугодия '!$6:$8</definedName>
    <definedName name="_xlnm.Print_Titles" localSheetId="3">'3'!$A:$D</definedName>
    <definedName name="_xlnm.Print_Titles" localSheetId="4">'3 сторонние'!$A:$D</definedName>
    <definedName name="_xlnm.Print_Titles" localSheetId="5">'4'!$A:$D</definedName>
    <definedName name="_xlnm.Print_Titles" localSheetId="6">'4 сторонние'!$A:$D</definedName>
    <definedName name="_xlnm.Print_Titles" localSheetId="7">'5'!$A:$D</definedName>
    <definedName name="_xlnm.Print_Titles" localSheetId="8">'5 сторонние'!$A:$D</definedName>
    <definedName name="_xlnm.Print_Titles" localSheetId="21">'P2.2'!$4:$5</definedName>
    <definedName name="_xlnm.Print_Titles" localSheetId="9">'П1.6'!$6:$8</definedName>
    <definedName name="_xlnm.Print_Titles" localSheetId="12">'свод'!$3:$5</definedName>
    <definedName name="_xlnm.Print_Area" localSheetId="10">'1.30 год '!$A$1:$F$222</definedName>
    <definedName name="_xlnm.Print_Area" localSheetId="11">'1.30 полугодия '!$A$1:$J$222</definedName>
    <definedName name="_xlnm.Print_Area" localSheetId="3">'3'!$A$1:$AJ$25</definedName>
    <definedName name="_xlnm.Print_Area" localSheetId="20">'P2.1'!$A$2:$J$57</definedName>
    <definedName name="_xlnm.Print_Area" localSheetId="21">'P2.2'!$A$2:$I$73</definedName>
    <definedName name="_xlnm.Print_Area" localSheetId="9">'П1.6'!$A$1:$S$58</definedName>
    <definedName name="ПериодРегулирования">'Заголовок'!$B$14</definedName>
    <definedName name="ПоследнийГод">'Заголовок'!$B$16</definedName>
  </definedNames>
  <calcPr fullCalcOnLoad="1"/>
</workbook>
</file>

<file path=xl/comments13.xml><?xml version="1.0" encoding="utf-8"?>
<comments xmlns="http://schemas.openxmlformats.org/spreadsheetml/2006/main">
  <authors>
    <author> </author>
  </authors>
  <commentList>
    <comment ref="M57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поставить сумму налога руками
</t>
        </r>
      </text>
    </comment>
  </commentList>
</comments>
</file>

<file path=xl/sharedStrings.xml><?xml version="1.0" encoding="utf-8"?>
<sst xmlns="http://schemas.openxmlformats.org/spreadsheetml/2006/main" count="4919" uniqueCount="1358">
  <si>
    <t>Период регулирования</t>
  </si>
  <si>
    <t>Базовый период</t>
  </si>
  <si>
    <t>Титульный лист</t>
  </si>
  <si>
    <t>Наименование организации:</t>
  </si>
  <si>
    <t>Почтовый адрес:</t>
  </si>
  <si>
    <t>Код</t>
  </si>
  <si>
    <t>отчитывающейся организации по ОКПО</t>
  </si>
  <si>
    <t xml:space="preserve">отрасли по ОКОНХ </t>
  </si>
  <si>
    <t>территории по ОКАТО</t>
  </si>
  <si>
    <t>министерства (ведомства), органа управления по ОКОГУ</t>
  </si>
  <si>
    <t>организационно-правовой формы по ОКОПФ</t>
  </si>
  <si>
    <t>формы собственности по ОКФС</t>
  </si>
  <si>
    <t>Закончившийся год</t>
  </si>
  <si>
    <t>1</t>
  </si>
  <si>
    <t>3</t>
  </si>
  <si>
    <t>вида деятельности</t>
  </si>
  <si>
    <t>ОКАТО1</t>
  </si>
  <si>
    <t>ОКФС1</t>
  </si>
  <si>
    <t>ОКОГУ1</t>
  </si>
  <si>
    <t>ОКОНХ1</t>
  </si>
  <si>
    <t>ОКОПФ1</t>
  </si>
  <si>
    <t>ОКПО1</t>
  </si>
  <si>
    <t>ОКВД1</t>
  </si>
  <si>
    <t>Расчёт технологического расхода электрической энергии (потерь) в электрических сетях</t>
  </si>
  <si>
    <t>№</t>
  </si>
  <si>
    <t>Показатели</t>
  </si>
  <si>
    <t>ед. измерения</t>
  </si>
  <si>
    <t>Прирост РЭК</t>
  </si>
  <si>
    <t>ВН</t>
  </si>
  <si>
    <t>СН1</t>
  </si>
  <si>
    <t>СН2</t>
  </si>
  <si>
    <t>НН</t>
  </si>
  <si>
    <t>BH</t>
  </si>
  <si>
    <t>CH1</t>
  </si>
  <si>
    <t>CH2</t>
  </si>
  <si>
    <t>HH</t>
  </si>
  <si>
    <t>1.</t>
  </si>
  <si>
    <t>Условно-постоянные потери</t>
  </si>
  <si>
    <t>L1</t>
  </si>
  <si>
    <t>1.1</t>
  </si>
  <si>
    <t xml:space="preserve">Потери электроэнергии холостого хода в силовом
трансформаторе   (автотрансформаторе) </t>
  </si>
  <si>
    <t>L1.1</t>
  </si>
  <si>
    <t>1.2</t>
  </si>
  <si>
    <t>Потери электроэнергии в шунтирующих реакторах (ШР)и соединительных проводах и сборных шинах распределительных устройств подстанций (СППС)</t>
  </si>
  <si>
    <t>L1.2</t>
  </si>
  <si>
    <t>1.3</t>
  </si>
  <si>
    <t>Потери электроэнергии в синхронных компенсаторах</t>
  </si>
  <si>
    <t>L1.3</t>
  </si>
  <si>
    <t>1.4</t>
  </si>
  <si>
    <t>Потери электроэнергии в статических компенсирующих устройствах - батареях статических конденсаторов (БК) и статических тиристорных компенсаторах (СТК)</t>
  </si>
  <si>
    <t>L1.4</t>
  </si>
  <si>
    <t>1.5</t>
  </si>
  <si>
    <t>Потери электроэнергии в вентильных разрядниках (РВ), ограничителях перенапряжений (ОПН), измерительных трансформаторах тока (ТТ)и напряжения (ТН) и устройствах присоединения ВЧ связи (УПВЧ)</t>
  </si>
  <si>
    <t>L1.5</t>
  </si>
  <si>
    <t>1.6</t>
  </si>
  <si>
    <t>Потери электроэнергии на корону</t>
  </si>
  <si>
    <t>L1.6</t>
  </si>
  <si>
    <t>1.7</t>
  </si>
  <si>
    <t>Потери электроэнергии от токов утечки по изоляторам воздушных линий</t>
  </si>
  <si>
    <t>L1.7</t>
  </si>
  <si>
    <t>1.8</t>
  </si>
  <si>
    <t>Расход электроэнергии на плавку гололеда</t>
  </si>
  <si>
    <t>L1.8</t>
  </si>
  <si>
    <t>1.9</t>
  </si>
  <si>
    <t>Потери электроэнергии в изоляции силовых кабелей</t>
  </si>
  <si>
    <t>L1.9</t>
  </si>
  <si>
    <t>1.10</t>
  </si>
  <si>
    <t>Расход электроэнергии на собственные нужды (СН) подстанций</t>
  </si>
  <si>
    <t>L1.10</t>
  </si>
  <si>
    <t>2.</t>
  </si>
  <si>
    <t>Условно переменные потери</t>
  </si>
  <si>
    <t>L2</t>
  </si>
  <si>
    <t>2.1</t>
  </si>
  <si>
    <t>Нагрузочные потери электроэнергии</t>
  </si>
  <si>
    <t>L2.1</t>
  </si>
  <si>
    <t>3.</t>
  </si>
  <si>
    <t>Потери электроэнергии   обусловленные допустимой    погрешностью    системы учета    электроэнергии</t>
  </si>
  <si>
    <t>L3</t>
  </si>
  <si>
    <t>4.</t>
  </si>
  <si>
    <t>Итого:</t>
  </si>
  <si>
    <t>L4</t>
  </si>
  <si>
    <t>ФАКТ</t>
  </si>
  <si>
    <t>ПЛАН</t>
  </si>
  <si>
    <t>Таблица № П1.4.</t>
  </si>
  <si>
    <t>Баланс электрической энергии по сетям ВН, СН1, СН2, и НН</t>
  </si>
  <si>
    <t>млн. кВтч</t>
  </si>
  <si>
    <t>№ п.п.</t>
  </si>
  <si>
    <t>Всего</t>
  </si>
  <si>
    <t xml:space="preserve">Поступление эл.энергии в сеть , ВСЕГО </t>
  </si>
  <si>
    <t>МКВТЧ</t>
  </si>
  <si>
    <t>1.1.</t>
  </si>
  <si>
    <t>из смежной сети, всего</t>
  </si>
  <si>
    <t xml:space="preserve">    в том числе из сети</t>
  </si>
  <si>
    <t>МСК</t>
  </si>
  <si>
    <t>1.2.</t>
  </si>
  <si>
    <t xml:space="preserve">от электростанций ПЭ </t>
  </si>
  <si>
    <t>1.3.</t>
  </si>
  <si>
    <t>от других поставщиков (в т.ч. с оптового рынка)</t>
  </si>
  <si>
    <t>1.4.</t>
  </si>
  <si>
    <t xml:space="preserve">поступление эл. энергии от других организаций </t>
  </si>
  <si>
    <t xml:space="preserve">Потери электроэнергии в сети </t>
  </si>
  <si>
    <t>то же в % (п.1.1/п.1.3)</t>
  </si>
  <si>
    <t>ПРЦ</t>
  </si>
  <si>
    <t>Расход электроэнергии на произв и хознужды</t>
  </si>
  <si>
    <t xml:space="preserve">Полезный отпуск из сети </t>
  </si>
  <si>
    <t>4.1.</t>
  </si>
  <si>
    <t xml:space="preserve">в т.ч. собственным потребителям </t>
  </si>
  <si>
    <t>L4.1</t>
  </si>
  <si>
    <t>из них:</t>
  </si>
  <si>
    <t>потребителям, присоединенным к центру питания на генераторном напряжении</t>
  </si>
  <si>
    <t>L4.1.1</t>
  </si>
  <si>
    <t>потребителям присоединенным к сетям МСК (последняя миля)</t>
  </si>
  <si>
    <t>L4.1.2</t>
  </si>
  <si>
    <t>4.2.</t>
  </si>
  <si>
    <t>потребителям оптового рынка</t>
  </si>
  <si>
    <t>L4.2</t>
  </si>
  <si>
    <t>4.3.</t>
  </si>
  <si>
    <t>сальдо переток в другие организации</t>
  </si>
  <si>
    <t>L4.3</t>
  </si>
  <si>
    <t>4.4.</t>
  </si>
  <si>
    <t>сальдо переток в сопредельные регионы</t>
  </si>
  <si>
    <t>L4.4</t>
  </si>
  <si>
    <t>5.</t>
  </si>
  <si>
    <t>проверка</t>
  </si>
  <si>
    <t>L5</t>
  </si>
  <si>
    <t>Таблица № П1.5.</t>
  </si>
  <si>
    <t>Электрическая мощность по диапазонам напряжения</t>
  </si>
  <si>
    <t>МВт</t>
  </si>
  <si>
    <t xml:space="preserve">Поступление мощности в сеть , ВСЕГО </t>
  </si>
  <si>
    <t>МВТ</t>
  </si>
  <si>
    <t xml:space="preserve">от других организаций </t>
  </si>
  <si>
    <t xml:space="preserve">Потери в сети </t>
  </si>
  <si>
    <t>то же в %</t>
  </si>
  <si>
    <t>Мощность на производ. и хоз. нужды</t>
  </si>
  <si>
    <t>Полезный отпуск мощности потребителям</t>
  </si>
  <si>
    <t>Заявленная (расчетная) мощность потр. опт. рынка</t>
  </si>
  <si>
    <t>в другие организации</t>
  </si>
  <si>
    <t>n/a</t>
  </si>
  <si>
    <t>ПФКТ</t>
  </si>
  <si>
    <t>РЭК</t>
  </si>
  <si>
    <t>L1.1.1</t>
  </si>
  <si>
    <t>L1.1.2</t>
  </si>
  <si>
    <t>L1.1.3</t>
  </si>
  <si>
    <t>L1.1.4</t>
  </si>
  <si>
    <t>Таблица 1</t>
  </si>
  <si>
    <t>Единица измерения</t>
  </si>
  <si>
    <t>План (утв. органами регулирования)</t>
  </si>
  <si>
    <t>Факт</t>
  </si>
  <si>
    <t>План</t>
  </si>
  <si>
    <t xml:space="preserve">Факт </t>
  </si>
  <si>
    <t>2</t>
  </si>
  <si>
    <t>РАСЧЕТ НЕОБХОДИМОЙ ВАЛОВОЙ ВЫРУЧКИ</t>
  </si>
  <si>
    <t>Поступление мощности в сеть , всего</t>
  </si>
  <si>
    <t>Полезный отпуск мощности всем потребителям</t>
  </si>
  <si>
    <t>МВт мес.</t>
  </si>
  <si>
    <t>Заявленная (расчетная) мощность собств. потребителям</t>
  </si>
  <si>
    <t>Расходы, связанные с производством и реализацией продукции (услуг), всего</t>
  </si>
  <si>
    <t>тыс.руб.</t>
  </si>
  <si>
    <t>Вспомогательные материалы</t>
  </si>
  <si>
    <t>4.1.1.</t>
  </si>
  <si>
    <t xml:space="preserve"> - ГСМ</t>
  </si>
  <si>
    <t>4.1.2.</t>
  </si>
  <si>
    <t xml:space="preserve"> - прочие впомагательные материалы</t>
  </si>
  <si>
    <t>Энергия на хозяйственные нужды</t>
  </si>
  <si>
    <t>4.2.1.</t>
  </si>
  <si>
    <t xml:space="preserve"> - электроэнергия</t>
  </si>
  <si>
    <t>4.2.2.</t>
  </si>
  <si>
    <t xml:space="preserve"> - теплоэнергия</t>
  </si>
  <si>
    <t>Амортизация основных средств, в т.ч.:</t>
  </si>
  <si>
    <t xml:space="preserve"> - по условным единицам</t>
  </si>
  <si>
    <t xml:space="preserve"> - прямо отнесенная по уровням напряжения</t>
  </si>
  <si>
    <t>4.4</t>
  </si>
  <si>
    <t>Оплата труда ППП (без ЕСН)</t>
  </si>
  <si>
    <t>4.5.</t>
  </si>
  <si>
    <t>Отчисления на социальные нужды</t>
  </si>
  <si>
    <t>4.6.</t>
  </si>
  <si>
    <t>Ремонт основных фондов</t>
  </si>
  <si>
    <t>4.7</t>
  </si>
  <si>
    <t>Прочие расходы, всего, в том числе:</t>
  </si>
  <si>
    <t>4.7.1.</t>
  </si>
  <si>
    <t xml:space="preserve"> - оплата услуг ФСК ЕЭС</t>
  </si>
  <si>
    <t>4.7.2.</t>
  </si>
  <si>
    <t xml:space="preserve">  - работы и услуги производственного характера</t>
  </si>
  <si>
    <t>4.7.3.</t>
  </si>
  <si>
    <t xml:space="preserve">  - налоги,всего, в том числе:</t>
  </si>
  <si>
    <t>4.7.3.1.</t>
  </si>
  <si>
    <t>плата за землю</t>
  </si>
  <si>
    <t>4.7.3.2.</t>
  </si>
  <si>
    <t>транспортный налог</t>
  </si>
  <si>
    <t>4.7.3.3.</t>
  </si>
  <si>
    <t>прочие налоги</t>
  </si>
  <si>
    <t>4.7.4.</t>
  </si>
  <si>
    <t xml:space="preserve">  - работы и услуги непроизводственного характера, в т.ч.:</t>
  </si>
  <si>
    <t>4.7.4.1.</t>
  </si>
  <si>
    <t>услуги связи</t>
  </si>
  <si>
    <t>4.7.4.2.</t>
  </si>
  <si>
    <t>расходы на охрану и пожарную безопасность</t>
  </si>
  <si>
    <t>4.7.4.3.</t>
  </si>
  <si>
    <t>расходы на информационное обслуживание, консультационные и юридические услуги</t>
  </si>
  <si>
    <t>4.7.4.4.</t>
  </si>
  <si>
    <t>расходы на сертификацию</t>
  </si>
  <si>
    <t>4.7.4.5.</t>
  </si>
  <si>
    <t>обеспечение нормальных условий труда и ТБ</t>
  </si>
  <si>
    <t>4.7.4.6.</t>
  </si>
  <si>
    <t>плата за аренду имущества</t>
  </si>
  <si>
    <t>4.7.4.7.</t>
  </si>
  <si>
    <t>расходы на командировки</t>
  </si>
  <si>
    <t>4.7.4.8.</t>
  </si>
  <si>
    <t>расходы на обучение</t>
  </si>
  <si>
    <t>4.7.4.9.</t>
  </si>
  <si>
    <t>расходы на страхование</t>
  </si>
  <si>
    <t>4.7.4.10.</t>
  </si>
  <si>
    <t>целевые средства на НИОКР</t>
  </si>
  <si>
    <t>4.7.4.11.</t>
  </si>
  <si>
    <t>содержание управляющей компании</t>
  </si>
  <si>
    <t>4.7.4.12.</t>
  </si>
  <si>
    <t>другие  прочие расходы, связанные с производством и реализацией</t>
  </si>
  <si>
    <t>Внереализационные расходы, всего</t>
  </si>
  <si>
    <t>5.1.</t>
  </si>
  <si>
    <t xml:space="preserve">  - расходы на услуги банков</t>
  </si>
  <si>
    <t>5.2.</t>
  </si>
  <si>
    <t xml:space="preserve">  - % за пользование кредитом</t>
  </si>
  <si>
    <t>5.3.</t>
  </si>
  <si>
    <t xml:space="preserve">  - налог на имущество</t>
  </si>
  <si>
    <t>5.4.</t>
  </si>
  <si>
    <t xml:space="preserve">  - расходы на формирование резервов по сомнительным долгам</t>
  </si>
  <si>
    <t>5.5.</t>
  </si>
  <si>
    <t xml:space="preserve">  - другие обоснованные расходы</t>
  </si>
  <si>
    <t>6.</t>
  </si>
  <si>
    <t>ИТОГО расходы, учитываемые в целях налогообложения</t>
  </si>
  <si>
    <t>7.</t>
  </si>
  <si>
    <t>Расходы, не учитываемые в целях налогообложения, всего</t>
  </si>
  <si>
    <t>7.1.</t>
  </si>
  <si>
    <t xml:space="preserve">  - капитальные вложения производственного характера</t>
  </si>
  <si>
    <t>7.2.</t>
  </si>
  <si>
    <t xml:space="preserve">  - дивиденды</t>
  </si>
  <si>
    <t>7.3.</t>
  </si>
  <si>
    <t xml:space="preserve">  - денежные выплаты социального характера (по Коллективному договору)</t>
  </si>
  <si>
    <t>7.4.</t>
  </si>
  <si>
    <t xml:space="preserve">  - резервный фонд</t>
  </si>
  <si>
    <t>7.5.</t>
  </si>
  <si>
    <t xml:space="preserve">  - прочие расходы</t>
  </si>
  <si>
    <t>Справочно: амортизация, учитываемая при налогообложении</t>
  </si>
  <si>
    <t>8</t>
  </si>
  <si>
    <t>Налогооблагаемая прибыль</t>
  </si>
  <si>
    <t>9</t>
  </si>
  <si>
    <t>Налог на прибыль</t>
  </si>
  <si>
    <t>Выпадающие доходы/экономия средств</t>
  </si>
  <si>
    <t>10.</t>
  </si>
  <si>
    <t>Прибыль от товарной продукции, всего</t>
  </si>
  <si>
    <t>11.</t>
  </si>
  <si>
    <t xml:space="preserve">Необходимая валовая выручка, всего </t>
  </si>
  <si>
    <t>СПРАВОЧНО</t>
  </si>
  <si>
    <t>12.</t>
  </si>
  <si>
    <t>Уровень рентабельности:</t>
  </si>
  <si>
    <t>%</t>
  </si>
  <si>
    <t>13.</t>
  </si>
  <si>
    <t>Расходы на 1 усл.ед.</t>
  </si>
  <si>
    <t>руб.</t>
  </si>
  <si>
    <t>14.</t>
  </si>
  <si>
    <t>Капитальные вложения - всего,</t>
  </si>
  <si>
    <t>в том числе:</t>
  </si>
  <si>
    <t>14.1.</t>
  </si>
  <si>
    <t>за счет собственных средств:</t>
  </si>
  <si>
    <t>14.1.1.</t>
  </si>
  <si>
    <t xml:space="preserve"> - амортизации</t>
  </si>
  <si>
    <t>14.1.2.</t>
  </si>
  <si>
    <t xml:space="preserve"> - неиспользованной амортизации</t>
  </si>
  <si>
    <t>14.1.3.</t>
  </si>
  <si>
    <t xml:space="preserve"> - прибыли предприятия</t>
  </si>
  <si>
    <t>14.1.4.</t>
  </si>
  <si>
    <t xml:space="preserve"> - плата за технологическое присоединение</t>
  </si>
  <si>
    <t>14.1.6.</t>
  </si>
  <si>
    <t xml:space="preserve"> - прибыли прошлых лет</t>
  </si>
  <si>
    <t>14.1.5.</t>
  </si>
  <si>
    <t xml:space="preserve"> - прочих источников</t>
  </si>
  <si>
    <t>14.2.</t>
  </si>
  <si>
    <t>за счет привлеченных и заемных средств</t>
  </si>
  <si>
    <t>14.2.1.</t>
  </si>
  <si>
    <t xml:space="preserve"> - кредитов и займов</t>
  </si>
  <si>
    <t>14.2.2.</t>
  </si>
  <si>
    <t xml:space="preserve"> - долевого участия</t>
  </si>
  <si>
    <t>14.2.3.</t>
  </si>
  <si>
    <t xml:space="preserve"> - средств бюджетов</t>
  </si>
  <si>
    <t>14.2.4.</t>
  </si>
  <si>
    <t>15.</t>
  </si>
  <si>
    <t>Ставки налогов:</t>
  </si>
  <si>
    <t>15.1.</t>
  </si>
  <si>
    <t xml:space="preserve"> - на прибыль</t>
  </si>
  <si>
    <t>15.2.</t>
  </si>
  <si>
    <t xml:space="preserve"> - ЕСН</t>
  </si>
  <si>
    <t>Условные единицы:</t>
  </si>
  <si>
    <t>ставка за содержание, руб/МВт мес</t>
  </si>
  <si>
    <t>ставка за потери, руб/МВтч</t>
  </si>
  <si>
    <t>мощность потребителей, МВт</t>
  </si>
  <si>
    <t>Сумма перекрестки</t>
  </si>
  <si>
    <t>ставка перекрестки, руб/МВт мес</t>
  </si>
  <si>
    <t>Итого ставка на содержание с учетом перекрестки, руб/МВт мес</t>
  </si>
  <si>
    <t>РЭК к утверждению, ставка за содержание, руб/МВт мес.</t>
  </si>
  <si>
    <t>РЭК к утверждению, ставка за потери, руб/МВтч</t>
  </si>
  <si>
    <t>Приложение 6</t>
  </si>
  <si>
    <t>Затраты на оплату труда</t>
  </si>
  <si>
    <t>ЧИСЛЕННОСТЬ</t>
  </si>
  <si>
    <t>Нормативная численность</t>
  </si>
  <si>
    <t>чел.</t>
  </si>
  <si>
    <t xml:space="preserve">  в т.ч. привлеченный персонал</t>
  </si>
  <si>
    <t>Нормативная численность ППП</t>
  </si>
  <si>
    <t xml:space="preserve">  без привлеченного персонала</t>
  </si>
  <si>
    <t>Фактическая численность</t>
  </si>
  <si>
    <t>% отношения факта к нормативу</t>
  </si>
  <si>
    <t>Численность на вводы по нормативу</t>
  </si>
  <si>
    <t>1.5.</t>
  </si>
  <si>
    <t>Численность, принятая для расчета</t>
  </si>
  <si>
    <t>СРЕДНЯЯ  ЗАРПЛАТА</t>
  </si>
  <si>
    <t>2.1.</t>
  </si>
  <si>
    <t>Тарифная ставка рабочего 1-го разряда</t>
  </si>
  <si>
    <t>2.2.</t>
  </si>
  <si>
    <t>Средняя ступень оплаты труда</t>
  </si>
  <si>
    <t>2.3.</t>
  </si>
  <si>
    <t>Тарифный коэффициент, соответствующий ступени по оплате труда</t>
  </si>
  <si>
    <t>2.4.</t>
  </si>
  <si>
    <t>Среднемесячная тарифная ставка ППП</t>
  </si>
  <si>
    <t>2.5.</t>
  </si>
  <si>
    <t>Выплаты, связанные с режимом работы, с условиями труда 1 работника:</t>
  </si>
  <si>
    <t xml:space="preserve">  - процент выплаты</t>
  </si>
  <si>
    <t xml:space="preserve">  - сумма выплат</t>
  </si>
  <si>
    <t>2.6.</t>
  </si>
  <si>
    <t>Текущее премирование:</t>
  </si>
  <si>
    <t>2.7.</t>
  </si>
  <si>
    <t>Вознаграждение за выслугу лет:</t>
  </si>
  <si>
    <t>2.8.</t>
  </si>
  <si>
    <t>Выплаты по итогам года:</t>
  </si>
  <si>
    <t>2.9.</t>
  </si>
  <si>
    <t>Выплаты &lt;______________&gt;:</t>
  </si>
  <si>
    <t>2.10.</t>
  </si>
  <si>
    <t>2.11.</t>
  </si>
  <si>
    <t>Выплаты по районному коэффициенту и северные надбавки:</t>
  </si>
  <si>
    <t>ИТОГО среднемесячная оплата труда на 1 работника</t>
  </si>
  <si>
    <t>РАСЧЕТ ФОТ (вкл. в расходы на производство продукции (услуг))</t>
  </si>
  <si>
    <t>Льготный проезд к месту отдыха</t>
  </si>
  <si>
    <t>По постановлению N1206 от 3.11.94</t>
  </si>
  <si>
    <t>Прочие</t>
  </si>
  <si>
    <t>Количество месяцев в периоде регулирования</t>
  </si>
  <si>
    <t>ИТОГО средства на оплату труда ППП</t>
  </si>
  <si>
    <t xml:space="preserve">      РАСЧЕТ по непромышленной группе (вкл. в балансовую прибыль)</t>
  </si>
  <si>
    <t>Планируемая численность</t>
  </si>
  <si>
    <t>Расчетная средняя зарплата</t>
  </si>
  <si>
    <t>5.6.</t>
  </si>
  <si>
    <t>ИТОГО ФОТ непром. группы</t>
  </si>
  <si>
    <t>5.7.</t>
  </si>
  <si>
    <t>Коэффициент для расчета по непром. группе</t>
  </si>
  <si>
    <t>Приложение 5</t>
  </si>
  <si>
    <t>Расчет амортизационных отчислений на восстановление основных производственных фондов</t>
  </si>
  <si>
    <t>в том числе по кварталам</t>
  </si>
  <si>
    <t>1 кв.</t>
  </si>
  <si>
    <t>2 кв.</t>
  </si>
  <si>
    <t>3 кв.</t>
  </si>
  <si>
    <t>4 кв.</t>
  </si>
  <si>
    <t xml:space="preserve">План </t>
  </si>
  <si>
    <t>ПЕРВОНАЧАЛЬНАЯ  СТОИМОСТЬ ОСН. ФОНДОВ на начало периода</t>
  </si>
  <si>
    <t>тыс.руб</t>
  </si>
  <si>
    <t xml:space="preserve">   Здания</t>
  </si>
  <si>
    <t xml:space="preserve">   Сооружения</t>
  </si>
  <si>
    <t xml:space="preserve">   Передаточные устройства</t>
  </si>
  <si>
    <t xml:space="preserve">   Машины и оборудование</t>
  </si>
  <si>
    <t xml:space="preserve">   в т.ч. - силовые машины</t>
  </si>
  <si>
    <t xml:space="preserve">             - рабочие машины</t>
  </si>
  <si>
    <t xml:space="preserve">             - приборы и лаборат. оборудование</t>
  </si>
  <si>
    <t xml:space="preserve">             - вычислительная техника</t>
  </si>
  <si>
    <t xml:space="preserve">             - прочие машины</t>
  </si>
  <si>
    <t xml:space="preserve">   Транспортные средства</t>
  </si>
  <si>
    <t xml:space="preserve">   Инструмент</t>
  </si>
  <si>
    <t xml:space="preserve">   Производственный инвентарь</t>
  </si>
  <si>
    <t xml:space="preserve">   Прочие основные производственные фонды</t>
  </si>
  <si>
    <t>ВВОД ОСНОВНЫХ ПРОИЗВОДСТВЕННЫХ ФОНДОВ</t>
  </si>
  <si>
    <t xml:space="preserve"> Здания</t>
  </si>
  <si>
    <t xml:space="preserve"> Сооружения</t>
  </si>
  <si>
    <t xml:space="preserve"> Передаточные устройства</t>
  </si>
  <si>
    <t xml:space="preserve"> Машины и оборудование</t>
  </si>
  <si>
    <t xml:space="preserve"> в т.ч. - силовые машины</t>
  </si>
  <si>
    <t>ВЫБЫТИЕ ОСНОВНЫХ ПРОИЗВОДСТВЕННЫХ ФОНДОВ</t>
  </si>
  <si>
    <t>СРЕДНЕГОДОВАЯ СТОИМОСТЬ ОСНОВНЫХ ПРОИЗВОДСТВЕННЫХ ФОНДОВ</t>
  </si>
  <si>
    <t>НОРМА АМОРТИЗАЦИОННЫХ ОТЧИСЛЕНИЙ</t>
  </si>
  <si>
    <t>СУММА АМОРТИЗАЦИОННЫХ ОТЧИСЛЕНИЙ</t>
  </si>
  <si>
    <t>Таблица П1.17.1</t>
  </si>
  <si>
    <t>Расчет среднегодовой стоимости основных производственных фондов по линиям электропередач и подстанциям</t>
  </si>
  <si>
    <t>тыс. руб.</t>
  </si>
  <si>
    <t>Виды производственных фондов</t>
  </si>
  <si>
    <t>стоимость на начало регулируемого периода</t>
  </si>
  <si>
    <t>Ввод основных производственных фондов</t>
  </si>
  <si>
    <t>Выбытие основных производственных фондов</t>
  </si>
  <si>
    <t xml:space="preserve">стоимость на конец регулируемого периода </t>
  </si>
  <si>
    <t xml:space="preserve">среднегодовая стоимость </t>
  </si>
  <si>
    <t>Амортизация</t>
  </si>
  <si>
    <t>L6</t>
  </si>
  <si>
    <t>L7</t>
  </si>
  <si>
    <t>L8</t>
  </si>
  <si>
    <t>4</t>
  </si>
  <si>
    <t>5</t>
  </si>
  <si>
    <t>6</t>
  </si>
  <si>
    <t>7</t>
  </si>
  <si>
    <t>Линии электропередач</t>
  </si>
  <si>
    <t>ЛЭП</t>
  </si>
  <si>
    <t>ВЛЭП</t>
  </si>
  <si>
    <t>ВЛЭП ВН</t>
  </si>
  <si>
    <t>ВЛЭП СН1</t>
  </si>
  <si>
    <t>ВЛЭП СН2</t>
  </si>
  <si>
    <t>ВЛЭП НН</t>
  </si>
  <si>
    <t>КЛЭП</t>
  </si>
  <si>
    <t>КЛЭП ВН</t>
  </si>
  <si>
    <t>КЛЭП СН1</t>
  </si>
  <si>
    <t>КЛЭП СН2</t>
  </si>
  <si>
    <t>КЛЭП НН</t>
  </si>
  <si>
    <t>Подстанции</t>
  </si>
  <si>
    <t>Подстанции ВН</t>
  </si>
  <si>
    <t>Подстанции СН1</t>
  </si>
  <si>
    <t>Подстанции СН2</t>
  </si>
  <si>
    <t>Подстанции НН</t>
  </si>
  <si>
    <t>Всего (стр. 1+стр.2)</t>
  </si>
  <si>
    <t>REC</t>
  </si>
  <si>
    <t>Таблица № П1.24.</t>
  </si>
  <si>
    <t>Расчет платы за услуги по содержанию электрических сетей</t>
  </si>
  <si>
    <t>Показатель</t>
  </si>
  <si>
    <t>Единицы измерения</t>
  </si>
  <si>
    <t>Затраты, отнесенные на передачу электрической энергии (п.13 табл.П.1.18.2.)</t>
  </si>
  <si>
    <t>СН</t>
  </si>
  <si>
    <t xml:space="preserve">    в том числе:</t>
  </si>
  <si>
    <t>Прибыль, отнесенная на передачу электрической энергии (п.8 табл.П.1.21.1-2)</t>
  </si>
  <si>
    <t>Рентабельность (п.2 / п.1 * 100%)</t>
  </si>
  <si>
    <t>Необходимая валовая выручка, отнесенная на передачу электрической энергии (п.1 + п.2)</t>
  </si>
  <si>
    <t>0.1.</t>
  </si>
  <si>
    <t xml:space="preserve">Среднемесячная за период суммарная заявленная (расчетная) мощность потребителей в максимум нагрузки ОЭС </t>
  </si>
  <si>
    <t>L0.1</t>
  </si>
  <si>
    <t>0.2.</t>
  </si>
  <si>
    <t>Суммарная по СН и НН (п.1.1.+ п.1.2.+п.1.3. табл.П1.5.)</t>
  </si>
  <si>
    <t>МВт.мес</t>
  </si>
  <si>
    <t>L0.2</t>
  </si>
  <si>
    <t>0.3.</t>
  </si>
  <si>
    <t>Суммарная по СН2 и НН (п.1.2.+п.1.3. табл.П1.5.)</t>
  </si>
  <si>
    <t>L0.3</t>
  </si>
  <si>
    <t>0.4.</t>
  </si>
  <si>
    <t>В сети НН (п.1.3. табл.П1.5.)</t>
  </si>
  <si>
    <t>L0.4</t>
  </si>
  <si>
    <t>Плата за услуги на содержание электрических сетей по диапазонам напряжения в расчете на 1 МВт согласно формулам (31)-(33)</t>
  </si>
  <si>
    <t>руб/тыс.кВт мес.</t>
  </si>
  <si>
    <t>руб/мВт мес.</t>
  </si>
  <si>
    <t>Плата за услуги на содержание электрических сетей по диапазонам напряжения в расчете на 1 МВтч согласно формулам (34)-(36)</t>
  </si>
  <si>
    <t>руб/тыс.кВтч</t>
  </si>
  <si>
    <t>Дельта НВВ ВН - СН</t>
  </si>
  <si>
    <t>Дельта НВВ СН1 - СН2</t>
  </si>
  <si>
    <t>Дельта НВВ СН2 - НН</t>
  </si>
  <si>
    <t>Утверждено</t>
  </si>
  <si>
    <t>Ожидаемое</t>
  </si>
  <si>
    <t>Таблица № П2.1</t>
  </si>
  <si>
    <t xml:space="preserve">Объем воздушных линий электропередач (ВЛЭП) и кабельных линий электропередач (КЛЭП) в условных единицах в зависимост от протяженности, напряжения, конструктивного использования и материала опор. </t>
  </si>
  <si>
    <t xml:space="preserve">Напряжение, кВ </t>
  </si>
  <si>
    <t>Количество цепей на опоре</t>
  </si>
  <si>
    <t>Материал опор</t>
  </si>
  <si>
    <t>Количество условных единиц (у) на 100 км трассы ЛЭП</t>
  </si>
  <si>
    <t>Протяженность</t>
  </si>
  <si>
    <t>Объем условных единиц</t>
  </si>
  <si>
    <t>у/100км</t>
  </si>
  <si>
    <t>км</t>
  </si>
  <si>
    <t>у</t>
  </si>
  <si>
    <t>7 = 5 * 6 /100</t>
  </si>
  <si>
    <t>-</t>
  </si>
  <si>
    <t>металл</t>
  </si>
  <si>
    <t>ВЛЭП-1150кВ-металл</t>
  </si>
  <si>
    <t>ВЛЭП-750кВ-цепей:1-металл</t>
  </si>
  <si>
    <t>400-500</t>
  </si>
  <si>
    <t>ВЛЭП-400-500кВ-цепей:1-металл</t>
  </si>
  <si>
    <t>ж/бетон</t>
  </si>
  <si>
    <t>ВЛЭП-330кВ-цепей:1-металл</t>
  </si>
  <si>
    <t>ВЛЭП-330кВ-цепей:2-металл</t>
  </si>
  <si>
    <t>дерево</t>
  </si>
  <si>
    <t>ВЛЭП-220кВ-цепей:1-дерево</t>
  </si>
  <si>
    <t>ВЛЭП-220кВ-металл</t>
  </si>
  <si>
    <t>ВЛЭП-220кВ-цепей:2-металл</t>
  </si>
  <si>
    <t>110-150</t>
  </si>
  <si>
    <t>ВЛЭП-110-150кВ-цепей:1-дерево</t>
  </si>
  <si>
    <t>ВЛЭП-110-150кВ-металл</t>
  </si>
  <si>
    <t>ВЛЭП-110-150кВ-цепей:2-металл</t>
  </si>
  <si>
    <t>КЛЭП-220кВ</t>
  </si>
  <si>
    <t>КЛЭП-110кВ</t>
  </si>
  <si>
    <t xml:space="preserve">ВН, всего </t>
  </si>
  <si>
    <t>ВЛЭП-35кВ-цепей:1-дерево</t>
  </si>
  <si>
    <t>ВЛЭП-35кВ-металл</t>
  </si>
  <si>
    <t>ВЛЭП-35кВ-цепей:2-металл</t>
  </si>
  <si>
    <t xml:space="preserve"> 1 - 20 </t>
  </si>
  <si>
    <t>ВЛЭП-1-20кВ-дерево</t>
  </si>
  <si>
    <t>дерево на ж/б пасынках</t>
  </si>
  <si>
    <t>ВЛЭП-1-20кВ-дерево на ж/б пасынках</t>
  </si>
  <si>
    <t>ж/бетон, металл</t>
  </si>
  <si>
    <t>ВЛЭП-1-20кВ-ж/бетон,металл</t>
  </si>
  <si>
    <t xml:space="preserve"> 20 -35</t>
  </si>
  <si>
    <t>КЛЭП-20-35кВ</t>
  </si>
  <si>
    <t xml:space="preserve"> 3 - 10</t>
  </si>
  <si>
    <t>КЛЭП-3-10кВ</t>
  </si>
  <si>
    <t>СН-1, всего</t>
  </si>
  <si>
    <t>СН-2, всего</t>
  </si>
  <si>
    <t xml:space="preserve">0,4 кВ </t>
  </si>
  <si>
    <t>ВЛЭП-0,4кВ-дерево</t>
  </si>
  <si>
    <t>ВЛЭП-0,4кВ-дерево на ж/б пасынках</t>
  </si>
  <si>
    <t>ВЛЭП-0,4кВ-ж/бетон,металл</t>
  </si>
  <si>
    <t xml:space="preserve">до 1 кВ </t>
  </si>
  <si>
    <t>КЛЭП-до1кВ</t>
  </si>
  <si>
    <t>НН, всего</t>
  </si>
  <si>
    <t>Таблица № П1.25</t>
  </si>
  <si>
    <t>Расчет ставки по оплате технологического расхода (потерь) электрической энергии на ее передачу</t>
  </si>
  <si>
    <t>Наименование показателя</t>
  </si>
  <si>
    <t xml:space="preserve">Ставка за электроэнергию тарифа покупки </t>
  </si>
  <si>
    <t>руб/МВтч</t>
  </si>
  <si>
    <t>Группа 1. Базовые потребители</t>
  </si>
  <si>
    <t xml:space="preserve">Группа 2-4. </t>
  </si>
  <si>
    <t>Отпуск электрической энергии в сеть с учетом величины сальдо-перетока электроэнергии</t>
  </si>
  <si>
    <t>млн.кВтч.</t>
  </si>
  <si>
    <t>в том числе</t>
  </si>
  <si>
    <t xml:space="preserve">Потери электрической энергии </t>
  </si>
  <si>
    <t>3.1.</t>
  </si>
  <si>
    <t>3.2.</t>
  </si>
  <si>
    <t>3.3.</t>
  </si>
  <si>
    <t>Полезный отпуск электрической энергии</t>
  </si>
  <si>
    <t>Расходы на компенсацию потерь</t>
  </si>
  <si>
    <t>Ставка на оплату технологического расхода (потерь ) электрической энергии на ее передачу по сетям</t>
  </si>
  <si>
    <t>6.1.</t>
  </si>
  <si>
    <t>руб./МВт.ч</t>
  </si>
  <si>
    <t>6.2.</t>
  </si>
  <si>
    <t>6.3.</t>
  </si>
  <si>
    <t>Дельта З СН1-ВН</t>
  </si>
  <si>
    <t>Дельта З СН2-СН1</t>
  </si>
  <si>
    <t>Дельта З пот-СН2</t>
  </si>
  <si>
    <t>Таблица № П2.2</t>
  </si>
  <si>
    <t xml:space="preserve">Объем подстанций 35-1150 кВ, трансформаторных подстанций (ТП), комплексных трансформаторных подстанций (КТП) и распределительных пунктов(РП) 0,4-20 кВ в условных единицах. </t>
  </si>
  <si>
    <t>Наименование</t>
  </si>
  <si>
    <t>Количество условных единиц (у) на единицу измерения</t>
  </si>
  <si>
    <t>Количество единиц измерения</t>
  </si>
  <si>
    <t>у/ед.изм.</t>
  </si>
  <si>
    <t>ед.изм.</t>
  </si>
  <si>
    <t>7=5*6</t>
  </si>
  <si>
    <t>Подстанция</t>
  </si>
  <si>
    <t>П/ст</t>
  </si>
  <si>
    <t>Силовой трансформатор или реактор (одно- или трехфазный), или вольтодобавочный трансформатор</t>
  </si>
  <si>
    <t>Единица оборудования</t>
  </si>
  <si>
    <t>1-20</t>
  </si>
  <si>
    <t>Воздушный выключатель</t>
  </si>
  <si>
    <t>3 фазы</t>
  </si>
  <si>
    <t>Масляный (вакуумный) выключатель</t>
  </si>
  <si>
    <t xml:space="preserve"> - " -</t>
  </si>
  <si>
    <t>Отделитель с короткозамыкателем</t>
  </si>
  <si>
    <t>Выключатель нагрузки</t>
  </si>
  <si>
    <t>Синхронный компенсатор мощн. до 50 Мвар</t>
  </si>
  <si>
    <t>То же, 50 Мвар и более</t>
  </si>
  <si>
    <t>Синхронный компенсатор мощн. 50 Мвар и выше</t>
  </si>
  <si>
    <t>Статические конденсаторы</t>
  </si>
  <si>
    <t>100 конд.</t>
  </si>
  <si>
    <t>Мачтовая (столбовая) ТП</t>
  </si>
  <si>
    <t>ТП</t>
  </si>
  <si>
    <t>Однотрансфор-маторная ТП, КТП</t>
  </si>
  <si>
    <t>ТП, КТП</t>
  </si>
  <si>
    <t>Двухтрансформаторная ТП, КТП</t>
  </si>
  <si>
    <t xml:space="preserve">Однотрансфор-маторная подстанция 34/0,4 кВ </t>
  </si>
  <si>
    <t>п/ст</t>
  </si>
  <si>
    <t>Итого</t>
  </si>
  <si>
    <t>Потребители электроэнергии</t>
  </si>
  <si>
    <t>Потребители (ПОТ)</t>
  </si>
  <si>
    <t>Экономически обоснованные тарифы на э/э для населения  (без НДС)</t>
  </si>
  <si>
    <t>В рамках соцнормы</t>
  </si>
  <si>
    <t>Сверх соцнормы</t>
  </si>
  <si>
    <t>Объем перекрестного субсидирования всего</t>
  </si>
  <si>
    <t>В рамках и сверх соцнормы</t>
  </si>
  <si>
    <t>Тарифы, утвержденные РЭК (без НДС)</t>
  </si>
  <si>
    <t>Полезный отпуск э/э населению</t>
  </si>
  <si>
    <t xml:space="preserve">Объем перекрестного субсидирования         </t>
  </si>
  <si>
    <t xml:space="preserve">Объем перекрестного субсидирования </t>
  </si>
  <si>
    <t>Средневзвешенный тариф (без НДС)</t>
  </si>
  <si>
    <t>коп/кВтч</t>
  </si>
  <si>
    <t>млн.кВтч</t>
  </si>
  <si>
    <t>млн.руб</t>
  </si>
  <si>
    <t>13</t>
  </si>
  <si>
    <t>14</t>
  </si>
  <si>
    <t>2007</t>
  </si>
  <si>
    <t>Сетевые организации региона</t>
  </si>
  <si>
    <t>Другие энергоснабжающие организации</t>
  </si>
  <si>
    <t>Городское население</t>
  </si>
  <si>
    <t xml:space="preserve">     - с газ. плитами</t>
  </si>
  <si>
    <t>Городское население, проживающее в домах, оборудованных газовыми плитами</t>
  </si>
  <si>
    <t>1.1.1.</t>
  </si>
  <si>
    <t>в т.ч.:    - ВН</t>
  </si>
  <si>
    <t>1.1.2.</t>
  </si>
  <si>
    <t xml:space="preserve">             - СН I</t>
  </si>
  <si>
    <t>1.1.3.</t>
  </si>
  <si>
    <t xml:space="preserve">             - СН II</t>
  </si>
  <si>
    <t>1.1.4.</t>
  </si>
  <si>
    <t xml:space="preserve">             - НН</t>
  </si>
  <si>
    <t>1.1.5.</t>
  </si>
  <si>
    <t xml:space="preserve">             - ГН</t>
  </si>
  <si>
    <t>ГН</t>
  </si>
  <si>
    <t xml:space="preserve">        - с эл. плитами</t>
  </si>
  <si>
    <t>Население, проживающее в домах, оборудованных электроплитами</t>
  </si>
  <si>
    <t>1.2.1.</t>
  </si>
  <si>
    <t>1.2.2.</t>
  </si>
  <si>
    <t>1.2.3.</t>
  </si>
  <si>
    <t>1.2.4.</t>
  </si>
  <si>
    <t>1.2.5.</t>
  </si>
  <si>
    <t>Сельское население</t>
  </si>
  <si>
    <t>Другие группы, относящиеся к населению</t>
  </si>
  <si>
    <t>3.4.</t>
  </si>
  <si>
    <t>3.5.</t>
  </si>
  <si>
    <t>Потребители городских населенных пунктов, рассчитывающиеся по общему счетчику</t>
  </si>
  <si>
    <t>Потребители сельских населенных пунктов, рассчитывающиеся по общему счетчику</t>
  </si>
  <si>
    <t>2008</t>
  </si>
  <si>
    <t>Организация</t>
  </si>
  <si>
    <t>ИНН</t>
  </si>
  <si>
    <t>2007Р</t>
  </si>
  <si>
    <t>2006Р</t>
  </si>
  <si>
    <t>Выберите регион</t>
  </si>
  <si>
    <t>Алтайский край</t>
  </si>
  <si>
    <t>Амурская область</t>
  </si>
  <si>
    <t>Архангельская область</t>
  </si>
  <si>
    <t>Астраханская область</t>
  </si>
  <si>
    <t>г.Байконур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</si>
  <si>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</si>
  <si>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</si>
  <si>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</si>
  <si>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</si>
  <si>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</si>
  <si>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</si>
  <si>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</si>
  <si>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</si>
  <si>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</si>
  <si>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</si>
  <si>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</si>
  <si>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</si>
  <si>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</si>
  <si>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</si>
  <si>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</si>
  <si>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</si>
  <si>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</si>
  <si>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</si>
  <si>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</si>
  <si>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</si>
  <si>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</si>
  <si>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</si>
  <si>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</si>
  <si>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</si>
  <si>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</si>
  <si>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</si>
  <si>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</si>
  <si>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</si>
  <si>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</si>
  <si>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</si>
  <si>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</si>
  <si>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</si>
  <si>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</si>
  <si>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</si>
  <si>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</si>
  <si>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</si>
  <si>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</si>
  <si>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</si>
  <si>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</si>
  <si>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</si>
  <si>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</si>
  <si>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</si>
  <si>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</si>
  <si>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</si>
  <si>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</si>
  <si>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</si>
  <si>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</si>
  <si>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</si>
  <si>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</si>
  <si>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</si>
  <si>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</si>
  <si>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</si>
  <si>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</si>
  <si>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</si>
  <si>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</si>
  <si>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г.Санкт-Петербург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</si>
  <si>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</si>
  <si>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</si>
  <si>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</si>
  <si>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</si>
  <si>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</si>
  <si>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</si>
  <si>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</si>
  <si>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</si>
  <si>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</si>
  <si>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</si>
  <si>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</si>
  <si>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</si>
  <si>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</si>
  <si>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</si>
  <si>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</si>
  <si>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</si>
  <si>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</si>
  <si>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</si>
  <si>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</si>
  <si>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</si>
  <si>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L4.7</t>
  </si>
  <si>
    <t>L9</t>
  </si>
  <si>
    <t>L4.2.1</t>
  </si>
  <si>
    <t>L4.2.2</t>
  </si>
  <si>
    <t>L4.3.1</t>
  </si>
  <si>
    <t>L4.3.2</t>
  </si>
  <si>
    <t>L4.5</t>
  </si>
  <si>
    <t>L4.6</t>
  </si>
  <si>
    <t>L4.7.1</t>
  </si>
  <si>
    <t>L4.3.2.1</t>
  </si>
  <si>
    <t>L4.3.2.2</t>
  </si>
  <si>
    <t>L4.3.2.3</t>
  </si>
  <si>
    <t>L4.3.2.4</t>
  </si>
  <si>
    <t>L4.7.1.1</t>
  </si>
  <si>
    <t>L4.7.1.2</t>
  </si>
  <si>
    <t>L4.7.1.3</t>
  </si>
  <si>
    <t>L4.7.1.4</t>
  </si>
  <si>
    <t>L4.7.2</t>
  </si>
  <si>
    <t>L4.7.3</t>
  </si>
  <si>
    <t>L4.7.3.1</t>
  </si>
  <si>
    <t>L4.7.3.2</t>
  </si>
  <si>
    <t>L4.7.3.3</t>
  </si>
  <si>
    <t>L4.7.4</t>
  </si>
  <si>
    <t>L4.7.4.1</t>
  </si>
  <si>
    <t>L4.7.4.2</t>
  </si>
  <si>
    <t>L4.7.4.3</t>
  </si>
  <si>
    <t>L4.7.4.4</t>
  </si>
  <si>
    <t>L4.7.4.5</t>
  </si>
  <si>
    <t>L4.7.4.6</t>
  </si>
  <si>
    <t>L4.7.4.7</t>
  </si>
  <si>
    <t>L4.7.4.8</t>
  </si>
  <si>
    <t>L4.7.4.9</t>
  </si>
  <si>
    <t>L4.7.4.10</t>
  </si>
  <si>
    <t>L4.7.4.11</t>
  </si>
  <si>
    <t>L4.7.4.12</t>
  </si>
  <si>
    <t>L5.1</t>
  </si>
  <si>
    <t>L5.2</t>
  </si>
  <si>
    <t>L5.3</t>
  </si>
  <si>
    <t>L5.3.1</t>
  </si>
  <si>
    <t>L5.4</t>
  </si>
  <si>
    <t>L5.5</t>
  </si>
  <si>
    <t>L6.1</t>
  </si>
  <si>
    <t>L6.2</t>
  </si>
  <si>
    <t>L6.3</t>
  </si>
  <si>
    <t>L6.4</t>
  </si>
  <si>
    <t>L7.1</t>
  </si>
  <si>
    <t>L7.1.1</t>
  </si>
  <si>
    <t>L7.1.2</t>
  </si>
  <si>
    <t>L7.1.3</t>
  </si>
  <si>
    <t>L7.1.4</t>
  </si>
  <si>
    <t>L7.2</t>
  </si>
  <si>
    <t>L7.3</t>
  </si>
  <si>
    <t>L7.4</t>
  </si>
  <si>
    <t>L7.5</t>
  </si>
  <si>
    <t>L8.0</t>
  </si>
  <si>
    <t>L9.1</t>
  </si>
  <si>
    <t>L9.2</t>
  </si>
  <si>
    <t>L9.3</t>
  </si>
  <si>
    <t>L9.4</t>
  </si>
  <si>
    <t>L10.0</t>
  </si>
  <si>
    <t>L10</t>
  </si>
  <si>
    <t>L10.1</t>
  </si>
  <si>
    <t>L10.2</t>
  </si>
  <si>
    <t>L10.3</t>
  </si>
  <si>
    <t>L10.4</t>
  </si>
  <si>
    <t>L11</t>
  </si>
  <si>
    <t>L12</t>
  </si>
  <si>
    <t>L13</t>
  </si>
  <si>
    <t>L14</t>
  </si>
  <si>
    <t>L14.1</t>
  </si>
  <si>
    <t>L14.1.1</t>
  </si>
  <si>
    <t>L14.1.2</t>
  </si>
  <si>
    <t>L14.1.3</t>
  </si>
  <si>
    <t>L14.1.4</t>
  </si>
  <si>
    <t>L14.1.6</t>
  </si>
  <si>
    <t>L14.1.5</t>
  </si>
  <si>
    <t>L14.2</t>
  </si>
  <si>
    <t>L14.2.1</t>
  </si>
  <si>
    <t>L14.2.2</t>
  </si>
  <si>
    <t>L14.2.3</t>
  </si>
  <si>
    <t>L14.2.4</t>
  </si>
  <si>
    <t>L15</t>
  </si>
  <si>
    <t>L15.1</t>
  </si>
  <si>
    <t>L15.2</t>
  </si>
  <si>
    <t>L15.3</t>
  </si>
  <si>
    <t>L15.3.1</t>
  </si>
  <si>
    <t>L15.3.2</t>
  </si>
  <si>
    <t>L15.3.3</t>
  </si>
  <si>
    <t>L15.3.4</t>
  </si>
  <si>
    <t>L1.2.1</t>
  </si>
  <si>
    <t>L2.2</t>
  </si>
  <si>
    <t>L2.3</t>
  </si>
  <si>
    <t>L2.5</t>
  </si>
  <si>
    <t>L1.3.1</t>
  </si>
  <si>
    <t>L2.4</t>
  </si>
  <si>
    <t>L2.5.1</t>
  </si>
  <si>
    <t>L2.5.2</t>
  </si>
  <si>
    <t>L2.6</t>
  </si>
  <si>
    <t>L2.6.1</t>
  </si>
  <si>
    <t>L2.6.2</t>
  </si>
  <si>
    <t>L2.7</t>
  </si>
  <si>
    <t>L2.7.1</t>
  </si>
  <si>
    <t>L2.7.2</t>
  </si>
  <si>
    <t>L2.8.1</t>
  </si>
  <si>
    <t>L2.8.2</t>
  </si>
  <si>
    <t>L2.9.1</t>
  </si>
  <si>
    <t>L2.9.2</t>
  </si>
  <si>
    <t>L2.10.1</t>
  </si>
  <si>
    <t>L2.10.2</t>
  </si>
  <si>
    <t>L2.11.1</t>
  </si>
  <si>
    <t>L2.11.2</t>
  </si>
  <si>
    <t>LM</t>
  </si>
  <si>
    <t>L5.6</t>
  </si>
  <si>
    <t>L5.7</t>
  </si>
  <si>
    <t>ПЛРТ</t>
  </si>
  <si>
    <t>ФТРТ</t>
  </si>
  <si>
    <t>1КВР</t>
  </si>
  <si>
    <t>2КВР</t>
  </si>
  <si>
    <t>3КВР</t>
  </si>
  <si>
    <t>4КВР</t>
  </si>
  <si>
    <t>L1.5.1</t>
  </si>
  <si>
    <t>L1.5.2</t>
  </si>
  <si>
    <t>L1.5.3</t>
  </si>
  <si>
    <t>L1.5.4</t>
  </si>
  <si>
    <t>L2.5.3</t>
  </si>
  <si>
    <t>L2.5.4</t>
  </si>
  <si>
    <t>L2.8</t>
  </si>
  <si>
    <t>L2.9</t>
  </si>
  <si>
    <t>L3.1</t>
  </si>
  <si>
    <t>L3.2</t>
  </si>
  <si>
    <t>L3.3</t>
  </si>
  <si>
    <t>L3.4</t>
  </si>
  <si>
    <t>L3.5</t>
  </si>
  <si>
    <t>L3.5.1</t>
  </si>
  <si>
    <t>L3.5.2</t>
  </si>
  <si>
    <t>L3.5.3</t>
  </si>
  <si>
    <t>L3.5.4</t>
  </si>
  <si>
    <t>L3.6</t>
  </si>
  <si>
    <t>L3.7</t>
  </si>
  <si>
    <t>L3.8</t>
  </si>
  <si>
    <t>L3.9</t>
  </si>
  <si>
    <t>L4.5.1</t>
  </si>
  <si>
    <t>L4.5.2</t>
  </si>
  <si>
    <t>L4.5.3</t>
  </si>
  <si>
    <t>L4.5.4</t>
  </si>
  <si>
    <t>L4.8</t>
  </si>
  <si>
    <t>L4.9</t>
  </si>
  <si>
    <t>L6.5</t>
  </si>
  <si>
    <t>L6.5.1</t>
  </si>
  <si>
    <t>L6.5.2</t>
  </si>
  <si>
    <t>L6.5.3</t>
  </si>
  <si>
    <t>L6.5.4</t>
  </si>
  <si>
    <t>L6.6</t>
  </si>
  <si>
    <t>L6.7</t>
  </si>
  <si>
    <t>L6.8</t>
  </si>
  <si>
    <t>L6.9</t>
  </si>
  <si>
    <t>L1.2.2</t>
  </si>
  <si>
    <t>L2.2.1</t>
  </si>
  <si>
    <t>L2.2.2</t>
  </si>
  <si>
    <t>L5.2.1</t>
  </si>
  <si>
    <t>L5.2.2</t>
  </si>
  <si>
    <t>L6.2.1</t>
  </si>
  <si>
    <t>L6.2.2</t>
  </si>
  <si>
    <t>L10.5</t>
  </si>
  <si>
    <t>L10.6</t>
  </si>
  <si>
    <t>L11.1</t>
  </si>
  <si>
    <t>L11.2</t>
  </si>
  <si>
    <t>L11.3</t>
  </si>
  <si>
    <t>L11.4</t>
  </si>
  <si>
    <t>L11.5</t>
  </si>
  <si>
    <t>L11.6</t>
  </si>
  <si>
    <t>L12.1</t>
  </si>
  <si>
    <t>L12.2</t>
  </si>
  <si>
    <t>L12.3</t>
  </si>
  <si>
    <t>L12.4</t>
  </si>
  <si>
    <t>L12.5</t>
  </si>
  <si>
    <t>L12.6</t>
  </si>
  <si>
    <t>L12.7</t>
  </si>
  <si>
    <t>L12.8</t>
  </si>
  <si>
    <t>L12.9</t>
  </si>
  <si>
    <t>ВН_Всего</t>
  </si>
  <si>
    <t>СН1_Всего</t>
  </si>
  <si>
    <t>СН2_Всего</t>
  </si>
  <si>
    <t>НН_Всего</t>
  </si>
  <si>
    <t>400_500</t>
  </si>
  <si>
    <t xml:space="preserve"> 3_10</t>
  </si>
  <si>
    <t>0,4</t>
  </si>
  <si>
    <t xml:space="preserve">_1 </t>
  </si>
  <si>
    <t>110_150</t>
  </si>
  <si>
    <t>0</t>
  </si>
  <si>
    <t xml:space="preserve">1_20 </t>
  </si>
  <si>
    <t>20_35</t>
  </si>
  <si>
    <t>L3.2.1</t>
  </si>
  <si>
    <t>L3.2.2</t>
  </si>
  <si>
    <t>1_20</t>
  </si>
  <si>
    <t>L5.8</t>
  </si>
  <si>
    <t>L01</t>
  </si>
  <si>
    <t>L02</t>
  </si>
  <si>
    <t>L03</t>
  </si>
  <si>
    <t>L04</t>
  </si>
  <si>
    <t>L05</t>
  </si>
  <si>
    <t>L06</t>
  </si>
  <si>
    <t>L07</t>
  </si>
  <si>
    <t>L08</t>
  </si>
  <si>
    <t>L09</t>
  </si>
  <si>
    <t>Предложение организации</t>
  </si>
  <si>
    <t>Предложение регионального регулятора</t>
  </si>
  <si>
    <t>Используйте меню АРМ СЕМ-&gt;Редактирование-&gt;Свойства документа</t>
  </si>
  <si>
    <t>Адрес почт1</t>
  </si>
  <si>
    <t>РАСЧЕТ ТАРИФОВ НА УСЛУГИ ПО ПЕРЕДАЧЕ ЭЛЕКТРИЧЕСКОЙ ЭНЕРГИИ</t>
  </si>
  <si>
    <t>Расчет тарифов на услуги по передаче электрической энергии</t>
  </si>
  <si>
    <t>Укажите вариант шаблона</t>
  </si>
  <si>
    <t>МКВтч</t>
  </si>
  <si>
    <t>Утверждено на 2008 год, ставка за содержание, руб/МВт мес.</t>
  </si>
  <si>
    <t>Утверждено на 2008 год, ставка за потери, руб/МВтч</t>
  </si>
  <si>
    <t>№ п/п</t>
  </si>
  <si>
    <t>За счет регулируемых тарифов по передаче</t>
  </si>
  <si>
    <t>За счет регулируемых тарифов по присоединению</t>
  </si>
  <si>
    <t>За счет иных источников</t>
  </si>
  <si>
    <t>Прибыль</t>
  </si>
  <si>
    <t>Инвестиционная программа</t>
  </si>
  <si>
    <t>Источники финансирования, тыс. рублей</t>
  </si>
  <si>
    <t xml:space="preserve">Наименование </t>
  </si>
  <si>
    <t>Итого за счет регулируемых тарифов по передаче</t>
  </si>
  <si>
    <t>Наименование работ</t>
  </si>
  <si>
    <t>г. Москва</t>
  </si>
  <si>
    <t>Забайкальский край</t>
  </si>
  <si>
    <t>Камчатский край</t>
  </si>
  <si>
    <t>L5.3.2</t>
  </si>
  <si>
    <t>L5.3.3</t>
  </si>
  <si>
    <t>L5.3.4</t>
  </si>
  <si>
    <t>L5.5.1</t>
  </si>
  <si>
    <t>L5.5.2</t>
  </si>
  <si>
    <t>L5.5.3</t>
  </si>
  <si>
    <t>L5.5.4</t>
  </si>
  <si>
    <t>L5.9</t>
  </si>
  <si>
    <t>ВЛЭП-400-500кВ:1-ж/бетон</t>
  </si>
  <si>
    <t>ВЛЭП-330кВ:1-ж/бетон</t>
  </si>
  <si>
    <t>ВЛЭП-330кВ:2-ж/бетон</t>
  </si>
  <si>
    <t>ВЛЭП-220кВ:1-ж/бетон</t>
  </si>
  <si>
    <t>ВЛЭП-220кВ:2-ж/бетон</t>
  </si>
  <si>
    <t>ВЛЭП-110-150кВ:1-ж/бетон</t>
  </si>
  <si>
    <t>ВЛЭП-110-150кВ:2-ж/бетон</t>
  </si>
  <si>
    <t>ВЛЭП-35кВ:1-ж/бетон</t>
  </si>
  <si>
    <t>ВЛЭП-35кВ:2-ж/бетон</t>
  </si>
  <si>
    <t>Всего по сетевой компании</t>
  </si>
  <si>
    <t>Всего по инвестиционному проекту</t>
  </si>
  <si>
    <t>Добавить работы по проекту</t>
  </si>
  <si>
    <t>Добавить инвестиционный проект</t>
  </si>
  <si>
    <t xml:space="preserve"> 1.1</t>
  </si>
  <si>
    <t xml:space="preserve"> 1.1.1</t>
  </si>
  <si>
    <t xml:space="preserve"> 1.</t>
  </si>
  <si>
    <t>Всего по сетевой организации</t>
  </si>
  <si>
    <t>Введите название организации и ИНН</t>
  </si>
  <si>
    <t>также в сальдированном выражении (п.14.2.1-п.12.2.1)</t>
  </si>
  <si>
    <t>32.2.1.1</t>
  </si>
  <si>
    <t>ОАО "Мончегорские электрические сети"</t>
  </si>
  <si>
    <t>32.2.3</t>
  </si>
  <si>
    <t>32.2.2</t>
  </si>
  <si>
    <t>ОАО "Тепловодоснабжение"</t>
  </si>
  <si>
    <t>32.2.1</t>
  </si>
  <si>
    <t xml:space="preserve">в т.ч. </t>
  </si>
  <si>
    <t>сетевым организациям</t>
  </si>
  <si>
    <t>32.2</t>
  </si>
  <si>
    <t xml:space="preserve">несетевым организациям </t>
  </si>
  <si>
    <t>32.1</t>
  </si>
  <si>
    <t xml:space="preserve">Отпуск (передача) электроэнергии </t>
  </si>
  <si>
    <t>32</t>
  </si>
  <si>
    <t>Потери электроэнергии</t>
  </si>
  <si>
    <t>31</t>
  </si>
  <si>
    <t>ООО "Завод Протеин"</t>
  </si>
  <si>
    <t>30.2.6</t>
  </si>
  <si>
    <t>30.2.5</t>
  </si>
  <si>
    <t>ОАО "РЖД"</t>
  </si>
  <si>
    <t>30.2.4</t>
  </si>
  <si>
    <t>30.2.3</t>
  </si>
  <si>
    <t>30.2.2</t>
  </si>
  <si>
    <t>ОАО "Колэнерго"</t>
  </si>
  <si>
    <t>30.2.1</t>
  </si>
  <si>
    <t>в т.ч. из</t>
  </si>
  <si>
    <t>сетевых организаций</t>
  </si>
  <si>
    <t>30.2</t>
  </si>
  <si>
    <t>несетевых организаций</t>
  </si>
  <si>
    <t>30.1</t>
  </si>
  <si>
    <t xml:space="preserve">Поступление электроэнергии в сеть    НН </t>
  </si>
  <si>
    <t>30</t>
  </si>
  <si>
    <t>- НН</t>
  </si>
  <si>
    <t>29</t>
  </si>
  <si>
    <t>Трансформировано из 10 - 6 кВ в:</t>
  </si>
  <si>
    <t>28</t>
  </si>
  <si>
    <t>также в сальдированном выражении (п.27.2.2-п.25.2.2)</t>
  </si>
  <si>
    <t>27.2.2.1</t>
  </si>
  <si>
    <t xml:space="preserve"> сетевой организации 2</t>
  </si>
  <si>
    <t>27.2.2</t>
  </si>
  <si>
    <t>также в сальдированном выражении (п.27.2.1-п.25.2.1)</t>
  </si>
  <si>
    <t>27.2.1.1</t>
  </si>
  <si>
    <t>27.2.16</t>
  </si>
  <si>
    <t>27.2.15</t>
  </si>
  <si>
    <t>27.2.14</t>
  </si>
  <si>
    <t>МУП "Кировская городская электрическая сеть"</t>
  </si>
  <si>
    <t>27.2.13</t>
  </si>
  <si>
    <t>27.2.12</t>
  </si>
  <si>
    <t>27.2.11</t>
  </si>
  <si>
    <t>27.2.10</t>
  </si>
  <si>
    <t>27.2.9</t>
  </si>
  <si>
    <t>27.2.8</t>
  </si>
  <si>
    <t>27.2.7</t>
  </si>
  <si>
    <t>27.2.6</t>
  </si>
  <si>
    <t>27.2.5</t>
  </si>
  <si>
    <t>27.2.4</t>
  </si>
  <si>
    <t>ОАО Автоколонна 1118</t>
  </si>
  <si>
    <t>27.2.3</t>
  </si>
  <si>
    <t>27.2.1</t>
  </si>
  <si>
    <t>27.2</t>
  </si>
  <si>
    <t>несетевым организациям</t>
  </si>
  <si>
    <t>27.1</t>
  </si>
  <si>
    <t>27</t>
  </si>
  <si>
    <t>26</t>
  </si>
  <si>
    <t>25.2.12</t>
  </si>
  <si>
    <t>МУП "Городские сети"</t>
  </si>
  <si>
    <t>25.2.11</t>
  </si>
  <si>
    <t>ОАО "Автоколонна 1118"</t>
  </si>
  <si>
    <t>25.2.10</t>
  </si>
  <si>
    <t>25.2.9</t>
  </si>
  <si>
    <t>ОАО  "ММРП"</t>
  </si>
  <si>
    <t>25.2.8</t>
  </si>
  <si>
    <t>25.2.7</t>
  </si>
  <si>
    <t>25.2.6</t>
  </si>
  <si>
    <t>ОАО "Кольская ГМК"</t>
  </si>
  <si>
    <t>25.2.5</t>
  </si>
  <si>
    <t>ОАО "Апатит"</t>
  </si>
  <si>
    <t>25.2.4</t>
  </si>
  <si>
    <t>25.2.3</t>
  </si>
  <si>
    <t>25.2.2</t>
  </si>
  <si>
    <t>ОАО "СУАЛ "КАЗ СУАЛ"</t>
  </si>
  <si>
    <t>25.2.1</t>
  </si>
  <si>
    <t>25.2</t>
  </si>
  <si>
    <t>25.1</t>
  </si>
  <si>
    <t>Поступление электроэнергии в сеть    СН 2</t>
  </si>
  <si>
    <t>25</t>
  </si>
  <si>
    <t>24</t>
  </si>
  <si>
    <t>- СН 2</t>
  </si>
  <si>
    <t>23</t>
  </si>
  <si>
    <t>Трансформировано из 35 кВ в:</t>
  </si>
  <si>
    <t>22</t>
  </si>
  <si>
    <t>также в сальдированном выражении (п.21.2.2-п.19.2.2)</t>
  </si>
  <si>
    <t>21.2.2.1</t>
  </si>
  <si>
    <t>21.2.2</t>
  </si>
  <si>
    <t>также в сальдированном выражении (п.21.2.1-п.19.2.1)</t>
  </si>
  <si>
    <t>21.2.1.1</t>
  </si>
  <si>
    <t>21.2.5</t>
  </si>
  <si>
    <t>МУП "Городские сети" г. Заполярный</t>
  </si>
  <si>
    <t>21.2.4</t>
  </si>
  <si>
    <t>21.2.3</t>
  </si>
  <si>
    <t>21.2.1</t>
  </si>
  <si>
    <t>21.2</t>
  </si>
  <si>
    <t>21.1</t>
  </si>
  <si>
    <t>сетевой организации 2</t>
  </si>
  <si>
    <t>19.2.3</t>
  </si>
  <si>
    <t>19.2.2</t>
  </si>
  <si>
    <t>19.2.1</t>
  </si>
  <si>
    <t>19.2</t>
  </si>
  <si>
    <t>не сетевых организаций</t>
  </si>
  <si>
    <t>19.1</t>
  </si>
  <si>
    <t>Поступление электроэнергии в сеть    СН 1</t>
  </si>
  <si>
    <t>- СН 1</t>
  </si>
  <si>
    <t>Трансформировано из 110 кВ в:</t>
  </si>
  <si>
    <t>15</t>
  </si>
  <si>
    <t>также в сальдированном выражении (п.14.2.2-п.12.2.2)</t>
  </si>
  <si>
    <t>14.2.2.1</t>
  </si>
  <si>
    <t>14.2.2</t>
  </si>
  <si>
    <t>14.2.1.1</t>
  </si>
  <si>
    <t>14.2.3</t>
  </si>
  <si>
    <t>14.2.1</t>
  </si>
  <si>
    <t>14.2</t>
  </si>
  <si>
    <t>14.1</t>
  </si>
  <si>
    <t>12.2.3</t>
  </si>
  <si>
    <t>12.2.2</t>
  </si>
  <si>
    <t>12.2.1</t>
  </si>
  <si>
    <t>12.2</t>
  </si>
  <si>
    <t>12.1</t>
  </si>
  <si>
    <t>Поступление электроэнергии в сеть ВН 110 кВ</t>
  </si>
  <si>
    <t>- ВН</t>
  </si>
  <si>
    <t>Трансформировано из сети ЕНЭС в:</t>
  </si>
  <si>
    <t>также в сальдированном выражении (п.6.2.2-п.4.2.2)</t>
  </si>
  <si>
    <t>6.2.1.2</t>
  </si>
  <si>
    <t>6.2.2</t>
  </si>
  <si>
    <t>также в сальдированном выражении (п.6.2.1-п.4.2.1)</t>
  </si>
  <si>
    <t>6.2.1.1</t>
  </si>
  <si>
    <t xml:space="preserve"> сетевой организации 1</t>
  </si>
  <si>
    <t>6.2.1</t>
  </si>
  <si>
    <t>6.2</t>
  </si>
  <si>
    <t xml:space="preserve">не сетевым организациям </t>
  </si>
  <si>
    <t>6.1</t>
  </si>
  <si>
    <t xml:space="preserve">Потери электроэнергии   </t>
  </si>
  <si>
    <t>4.2.2</t>
  </si>
  <si>
    <t>4.2.1</t>
  </si>
  <si>
    <t xml:space="preserve"> сетевых организаций</t>
  </si>
  <si>
    <t>4.2</t>
  </si>
  <si>
    <t>4.1</t>
  </si>
  <si>
    <t>Поступление электроэнергии в ЕНЭС</t>
  </si>
  <si>
    <t>также в сальдированном выражении (п.3.2.2-п.1.2.2)</t>
  </si>
  <si>
    <t>3.2.1.1</t>
  </si>
  <si>
    <t>3.2.2</t>
  </si>
  <si>
    <t>также в сальдированном выражении (п.3.2.1-п.1.2.1)</t>
  </si>
  <si>
    <t>3.2.18</t>
  </si>
  <si>
    <t>3.2.17</t>
  </si>
  <si>
    <t>3.2.16</t>
  </si>
  <si>
    <t>3.2.15</t>
  </si>
  <si>
    <t>3.2.14</t>
  </si>
  <si>
    <t>3.2.13</t>
  </si>
  <si>
    <t>3.2.12</t>
  </si>
  <si>
    <t>3.2.11</t>
  </si>
  <si>
    <t>3.2.10</t>
  </si>
  <si>
    <t>3.2.9</t>
  </si>
  <si>
    <t>3.2.8</t>
  </si>
  <si>
    <t>3.2.7</t>
  </si>
  <si>
    <t>3.2.6</t>
  </si>
  <si>
    <t>3.2.5</t>
  </si>
  <si>
    <t>3.2.4</t>
  </si>
  <si>
    <t>3.2.3</t>
  </si>
  <si>
    <t>3.2.1</t>
  </si>
  <si>
    <t>3.2</t>
  </si>
  <si>
    <t>3.1</t>
  </si>
  <si>
    <t>Отпуск (передача)  всего</t>
  </si>
  <si>
    <t>Потери электроэнергии    -  всего</t>
  </si>
  <si>
    <t>1.2.18</t>
  </si>
  <si>
    <t>1.2.17</t>
  </si>
  <si>
    <t>1.2.16</t>
  </si>
  <si>
    <t>1.2.15</t>
  </si>
  <si>
    <t>1.2.14</t>
  </si>
  <si>
    <t>1.2.13</t>
  </si>
  <si>
    <t>1.2.12</t>
  </si>
  <si>
    <t>1.2.11</t>
  </si>
  <si>
    <t>1.2.10</t>
  </si>
  <si>
    <t>1.2.9</t>
  </si>
  <si>
    <t>1.2.8</t>
  </si>
  <si>
    <t>1.2.7</t>
  </si>
  <si>
    <t>1.2.6</t>
  </si>
  <si>
    <t>1.2.5</t>
  </si>
  <si>
    <t>1.2.4</t>
  </si>
  <si>
    <t>1.2.3</t>
  </si>
  <si>
    <t>1.2.2</t>
  </si>
  <si>
    <t>1.2.1</t>
  </si>
  <si>
    <t>Поступление электроэнергии в сеть - всего</t>
  </si>
  <si>
    <t>Товарная продукция, тыс. руб.</t>
  </si>
  <si>
    <t>Присоеди - ненная мощность, МВА</t>
  </si>
  <si>
    <t>Заявленная мощность, МВт</t>
  </si>
  <si>
    <t>отпуск ЭЭ, тыс.кВтч</t>
  </si>
  <si>
    <t>Таблица № П 1.30</t>
  </si>
  <si>
    <t>При расчете условных единиц протяженность ВЛЭП - 0,4 кВ от линии до ввода в здании не учитывается.</t>
  </si>
  <si>
    <t>а) воздушных линий в здании;</t>
  </si>
  <si>
    <t>б) линий с совместной подвеской проводов.</t>
  </si>
  <si>
    <t>Условные единицы по ВЛЭП 0,4 - 20 кВ учитывают трудозатраты оперативного персонала распределительных сетей 0,4 - 20 кВ.</t>
  </si>
  <si>
    <t>Кабельные вводы учтены в условных единицах КЛЭП напряжением до 1 кВ.</t>
  </si>
  <si>
    <t>ОБРАТИТЕ ВНИМАНИЕ !!! Примечание:</t>
  </si>
  <si>
    <t>ОБРАТИТЕ ВНИМАНИЕ!!! Примечание:</t>
  </si>
  <si>
    <t>В п. 1 учтены трудозатраты оперативного персонала подстанций напряжением 35 - 1150 кВ.</t>
  </si>
  <si>
    <t>Условные единицы по п. 2 "Силовые трансформаторы 1 - 20 кВ" определяются только для трансформаторов, используемых для собственных нужд подстанций 35 - 1150 кВ.</t>
  </si>
  <si>
    <t>По пп. 3 - 6 учтены дополнительные трудозатраты на обслуживание и ремонт устройств релейной защиты и автоматики, а для воздушных выключателей (п. 3) - дополнительно трудозатраты по обслуживанию и ремонту компрессорных установок.</t>
  </si>
  <si>
    <t>Значения условных единиц пп. 4 и 6 "Масляные выключатели 1 - 20 кВ" и "Выключатели нагрузки    1 - 20 кВ" относятся к коммутационным аппаратам, установленным в распределительных устройствах 1 - 20 кВ подстанций 35 - 1150 кВ, ТП, КТП и РП 1 - 20 кВ, а также к секционирующим коммутационным аппаратам на линиях 1 - 20 кВ.</t>
  </si>
  <si>
    <t>По пп. 1, 2 условные единицы относятся на уровень напряжения, соответствующий первичному напряжению.</t>
  </si>
  <si>
    <t>Условные единицы электрооборудования понизительных подстанций относятся на уровень высшего напряжения подстанций.</t>
  </si>
  <si>
    <t>Условные единицы по пп. 2 - 9 учитывают трудозатраты по обслуживанию и ремонту оборудования, не включенного в номенклатуру условных единиц (трансформаторы напряжения, аккумуляторные батареи, сборные шины и т.д.), резервного оборудования.</t>
  </si>
  <si>
    <t>Объем РП 1_-_20 кВ в условных единицах определяется по количеству установленных масляных выключателей (п. 4) и выключателей нагрузки (п. 6). При установке в РП трансформаторов 1 - 20/0,4 кВ дополнительные объемы обслуживания определяются по п. 11 или 12.</t>
  </si>
  <si>
    <t>По пп. 10_-_12 дополнительно учтены трудозатраты оперативного персонала распределительных сетей 0,4 - 20 кВ.</t>
  </si>
  <si>
    <t>Условные единицы по ВЛЭП - 0,4 кВ учитывают трудозатраты на обслуживание и ремонт:</t>
  </si>
  <si>
    <t>Расчет коэффициента индексации</t>
  </si>
  <si>
    <t>инфляция</t>
  </si>
  <si>
    <t>индекс эффективности операционных расходов</t>
  </si>
  <si>
    <t>количество активов</t>
  </si>
  <si>
    <t>у.е.</t>
  </si>
  <si>
    <t>индекс изменения количества активов</t>
  </si>
  <si>
    <t>коэффициент эластичности затрат по росту активов</t>
  </si>
  <si>
    <t>итого коэффициент индексации</t>
  </si>
  <si>
    <t>Расчет подконтрольных расходов</t>
  </si>
  <si>
    <t>Материальные затраты</t>
  </si>
  <si>
    <t>Сырье, материалы, запасные части, инструмент, топливо</t>
  </si>
  <si>
    <t>Работы и услуги производственного характера (в т.ч. услуги сторонних организаций по содержанию сетей и распределительных устройств)</t>
  </si>
  <si>
    <t>Расходы на оплату труда</t>
  </si>
  <si>
    <t>1.3.1.</t>
  </si>
  <si>
    <t>1.3.2.</t>
  </si>
  <si>
    <t>Оплата работ и услуг сторонних организаций</t>
  </si>
  <si>
    <t>1.3.2.1.</t>
  </si>
  <si>
    <t>1.3.2.2.</t>
  </si>
  <si>
    <t>Расходы на услуги вневедомственной охраны и коммунального хозяйства</t>
  </si>
  <si>
    <t>1.3.2.3.</t>
  </si>
  <si>
    <t>Расходы на юридические и информационные услуги</t>
  </si>
  <si>
    <t>1.3.2.4.</t>
  </si>
  <si>
    <t>Расходы на аудиторские и консультационные услуги</t>
  </si>
  <si>
    <t>1.3.2.5.</t>
  </si>
  <si>
    <t>Транспортные услуги</t>
  </si>
  <si>
    <t>1.3.2.6.</t>
  </si>
  <si>
    <t>Прочие услуги сторонних организаций</t>
  </si>
  <si>
    <t>1.3.3.</t>
  </si>
  <si>
    <t>Расходы на командировки и представительские</t>
  </si>
  <si>
    <t>1.3.4.</t>
  </si>
  <si>
    <t>Расходы на подготовку кадров</t>
  </si>
  <si>
    <t>1.3.5.</t>
  </si>
  <si>
    <t>Расходы на обеспечение нормальных условий труда и мер по технике безопасности</t>
  </si>
  <si>
    <t>1.3.6.</t>
  </si>
  <si>
    <t>1.3.7.</t>
  </si>
  <si>
    <t>Другие прочие расходы</t>
  </si>
  <si>
    <t>Подконтрольные расходы из прибыли</t>
  </si>
  <si>
    <t>ИТОГО подконтрольные расходы</t>
  </si>
  <si>
    <t>Расчет неподконтрольных расходов</t>
  </si>
  <si>
    <t>Оплата услуг ОАО "ФСК ЕЭС"</t>
  </si>
  <si>
    <t>Электроэнергия на хоз. нужды</t>
  </si>
  <si>
    <t>Теплоэнергия</t>
  </si>
  <si>
    <t>Плата за аренду имущества и лизинг</t>
  </si>
  <si>
    <t>Налоги,всего, в том числе:</t>
  </si>
  <si>
    <t>Налог на имущество</t>
  </si>
  <si>
    <t>Прочие налоги и сборы</t>
  </si>
  <si>
    <t>Прочие неподконтрольные расходы</t>
  </si>
  <si>
    <t>Амортизация ОС</t>
  </si>
  <si>
    <t>Прибыль на капитальные вложения</t>
  </si>
  <si>
    <t>Проверка прибыли на капитальные вложения (не более 12% от НВВ на содержание сетей)</t>
  </si>
  <si>
    <t>ИТОГО неподконтрольных расходов</t>
  </si>
  <si>
    <t>ИТОГО НВВ на содержание сетей</t>
  </si>
  <si>
    <t>Итого НВВ на содержание сетей</t>
  </si>
  <si>
    <t>2012 (предложение УТР)</t>
  </si>
  <si>
    <t>Факт ЭСО всего</t>
  </si>
  <si>
    <t>Факт ЭСО, в т.ч. на передачу сторонним потребителям</t>
  </si>
  <si>
    <t>Ожидаемое ЭСО всего</t>
  </si>
  <si>
    <t>Ожидаемое ЭСО, в т.ч. на передачу сторонним потребителям</t>
  </si>
  <si>
    <t>всего</t>
  </si>
  <si>
    <t>в т.ч. на передачу сторонним потребителям</t>
  </si>
  <si>
    <t xml:space="preserve">Ожидаемое ЭСО, в т.ч. на передачу сторонним потребителям </t>
  </si>
  <si>
    <t xml:space="preserve">в т.ч. на передачу сторонним потребителям </t>
  </si>
  <si>
    <t>Расчет перекрестного субсидирования</t>
  </si>
  <si>
    <t>ПГИ КНЦ РАН</t>
  </si>
  <si>
    <t>ОАО "ММТП"</t>
  </si>
  <si>
    <t>1.2.19</t>
  </si>
  <si>
    <t>3.2.19</t>
  </si>
  <si>
    <t>12.2.4</t>
  </si>
  <si>
    <t>12.2.5</t>
  </si>
  <si>
    <t>12.2.6</t>
  </si>
  <si>
    <t>14.2.4</t>
  </si>
  <si>
    <t>19.2.4</t>
  </si>
  <si>
    <t>19.2.5</t>
  </si>
  <si>
    <t>19.2.6</t>
  </si>
  <si>
    <t>19.2.7</t>
  </si>
  <si>
    <t xml:space="preserve">не сетевыми организациями </t>
  </si>
  <si>
    <t>25.2.13</t>
  </si>
  <si>
    <t>25.2.14</t>
  </si>
  <si>
    <t>25.2.15</t>
  </si>
  <si>
    <t>25.2.16</t>
  </si>
  <si>
    <t>25.2.17</t>
  </si>
  <si>
    <t>в т.ч. Заявленная (расчетная) мощность собственных  потребителей</t>
  </si>
  <si>
    <t>Проверка:</t>
  </si>
  <si>
    <t>МУП "Апатитская электросетевая компания"</t>
  </si>
  <si>
    <t>30.2.7</t>
  </si>
  <si>
    <t>Отпуск (передача) электроэнергии территориальными сетевыми организациями</t>
  </si>
  <si>
    <t xml:space="preserve">ВНИМАНИЕ: таблица заполняется только по объемам передачи сторонним потребителям, </t>
  </si>
  <si>
    <t>т.е. без расхода на собственные производственные и хоз. нужды предприятия</t>
  </si>
  <si>
    <t>12.2.7</t>
  </si>
  <si>
    <t>14.2.5</t>
  </si>
  <si>
    <t>ОАО "Оборонэнерго"</t>
  </si>
  <si>
    <t>Внимание: поставить объемы по населению обязательно!!!!</t>
  </si>
  <si>
    <t>Таблица П1.6</t>
  </si>
  <si>
    <t>Структура полезного отпуска электрической энергии (мощности)</t>
  </si>
  <si>
    <t>по группам потребителей ЭСО</t>
  </si>
  <si>
    <t>№
п/п</t>
  </si>
  <si>
    <t>Группа потребителей</t>
  </si>
  <si>
    <t>Объем полезного отпуска электроэнергии, млн. кВт·ч</t>
  </si>
  <si>
    <t>Заявленная (расчетная) мощность, тыс. кВт</t>
  </si>
  <si>
    <t>Число часов использования, час</t>
  </si>
  <si>
    <t>Доля потребления на разных диапазонах напряжений, %</t>
  </si>
  <si>
    <t>СН11</t>
  </si>
  <si>
    <t>Базовые потребители</t>
  </si>
  <si>
    <t>Потребитель 1</t>
  </si>
  <si>
    <t>Потребитель 2</t>
  </si>
  <si>
    <t>…</t>
  </si>
  <si>
    <t>Население</t>
  </si>
  <si>
    <t>Прочие потребители</t>
  </si>
  <si>
    <t>в том числе
Бюджетные потребители</t>
  </si>
  <si>
    <t>Городское население (всего год)</t>
  </si>
  <si>
    <t>в т.ч. 1 полугодие 2014</t>
  </si>
  <si>
    <t>в т.ч. 2 полугодие 2014</t>
  </si>
  <si>
    <t xml:space="preserve"> - с газ.плитами (всего год)</t>
  </si>
  <si>
    <t xml:space="preserve"> - с газ.плитами 1 полугодие 2014</t>
  </si>
  <si>
    <t xml:space="preserve"> - с газ.плитами 2 полугодие 2014</t>
  </si>
  <si>
    <t xml:space="preserve"> - с эл. плитами (всего год)</t>
  </si>
  <si>
    <t>- с эл. плитами 1 полугодие 2014</t>
  </si>
  <si>
    <t>- с эл. плитами 2 полугодие 2014</t>
  </si>
  <si>
    <t>Сельское население (всего год)</t>
  </si>
  <si>
    <t>Другие группы, относящиеся к населению (всего год)</t>
  </si>
  <si>
    <t xml:space="preserve">3.1. </t>
  </si>
  <si>
    <t xml:space="preserve">3.2. </t>
  </si>
  <si>
    <t>2014 план</t>
  </si>
  <si>
    <t>2013 утверждено</t>
  </si>
  <si>
    <t>подпись</t>
  </si>
  <si>
    <t>Ф.И.О.</t>
  </si>
  <si>
    <t>контактный телефон</t>
  </si>
  <si>
    <t>Исполнитель (должность)</t>
  </si>
  <si>
    <t>газовые плиты и прочие</t>
  </si>
  <si>
    <t xml:space="preserve">эл/плиты </t>
  </si>
  <si>
    <t>в т.ч. Населению всего</t>
  </si>
  <si>
    <t>сельское население</t>
  </si>
  <si>
    <t>ОАО "МОЭСК" ("Электросети" г. П.Зори)</t>
  </si>
  <si>
    <t>ОАО "МОЭСК" ("Мурманская горэлектросеть")</t>
  </si>
  <si>
    <t>ОАО "МОЭСК" ("Кандалакшская горэлектросеть")</t>
  </si>
  <si>
    <t>ОАО "МОЭСК" (Заполярная горэлектросеть)</t>
  </si>
  <si>
    <t>План (утв. УТР МО)</t>
  </si>
  <si>
    <t>План ВСЕГО (утв. УТР МО)</t>
  </si>
  <si>
    <t>План на передачу сторонним (утв. УТР МО)</t>
  </si>
  <si>
    <t>2013 план</t>
  </si>
  <si>
    <t>2013 факт</t>
  </si>
  <si>
    <t>2014 ожидаемое</t>
  </si>
  <si>
    <t xml:space="preserve">1 полугодие 2015 план </t>
  </si>
  <si>
    <t xml:space="preserve">2 полугодие 2015 план </t>
  </si>
  <si>
    <t xml:space="preserve">2015 план </t>
  </si>
  <si>
    <t>1 полугодие 2015 план</t>
  </si>
  <si>
    <t>2 полугодие 2015 план</t>
  </si>
  <si>
    <t>2015 план</t>
  </si>
  <si>
    <t>2015 год план</t>
  </si>
  <si>
    <t xml:space="preserve">2015 год план </t>
  </si>
  <si>
    <t>Строки с формулами выделены цветом</t>
  </si>
  <si>
    <t>ОАО "Мурманэнергосбыт" (Заполярная горэлектросеть)</t>
  </si>
  <si>
    <t>ФОРМУЛЫ  НЕ ЛОМАТЬ!!!</t>
  </si>
  <si>
    <t>2 полугодие 2015 года</t>
  </si>
  <si>
    <t>1 полугодие 2015 года</t>
  </si>
  <si>
    <t>2015 год (предложение ЭСО)</t>
  </si>
  <si>
    <t>2015 год  (расчет УТР МО)</t>
  </si>
  <si>
    <t>2014 утв.</t>
  </si>
  <si>
    <t>2015 (базовый период)</t>
  </si>
  <si>
    <t>Выпадающие доходы по п.87 Основ ценообразования</t>
  </si>
  <si>
    <t>Выпадающие доходы (экономия средств) за исключением выпадающих доходов, учтенных в соответствии с п.87 Основ ценообразования</t>
  </si>
  <si>
    <t>ИПЦ Минэкономразвития согласно Прогнозу</t>
  </si>
  <si>
    <t>2.4.1.</t>
  </si>
  <si>
    <t>2.4.2.</t>
  </si>
  <si>
    <t>2.4.3.</t>
  </si>
  <si>
    <t xml:space="preserve">Отчисления на социальные нужды </t>
  </si>
  <si>
    <t>2015 (предложение ЭСО)</t>
  </si>
  <si>
    <t>2015 (расчет УТР)</t>
  </si>
  <si>
    <t>предложение региона         2015</t>
  </si>
  <si>
    <t>предложение региона          2015</t>
  </si>
  <si>
    <t>2014 утверждено</t>
  </si>
  <si>
    <t>Поставить объемы полезного отпуска населению факт 2013, ожидаемое 2014, план 2015 (всего и по полугодиям)</t>
  </si>
  <si>
    <t>Сводный расчет необходимой валовой выручки МУП "Кировская горэлектросеть"</t>
  </si>
  <si>
    <t>МУП "Кировская горэлектросеть"</t>
  </si>
  <si>
    <t>5103021241</t>
  </si>
  <si>
    <t>Строительство КЛ-0,4 кВ Кирова Юбилейная</t>
  </si>
  <si>
    <t>ВЛ-6кВ Ф-9,Ф-20,Ф-21</t>
  </si>
  <si>
    <t>РАСЧЕТ НВВ методом индексации в 2015-2019 гг</t>
  </si>
  <si>
    <t>Беспалова Татьяна Владимировна</t>
  </si>
  <si>
    <t>Исполнитель (должность) Инженер ПТО</t>
  </si>
  <si>
    <t>контактный телефон (81531) 5-54-79</t>
  </si>
  <si>
    <t>Инженер ПТО</t>
  </si>
  <si>
    <t>(81531)5-54-79</t>
  </si>
  <si>
    <t>контактный телефон (81531)5-54-79</t>
  </si>
  <si>
    <t>Исполнитель (должность) Главный экономист</t>
  </si>
  <si>
    <t>Исполнитель Главный экономист ______________Богатырева И.А.</t>
  </si>
  <si>
    <t>(81531)5-45-58</t>
  </si>
  <si>
    <t>Богатырева Ирина Анатольевна</t>
  </si>
  <si>
    <t>контактный телефон (81531) 5-45-58</t>
  </si>
  <si>
    <t>Главный экономист ________________Богатырева И.А.</t>
  </si>
  <si>
    <t>Главный экономист</t>
  </si>
  <si>
    <t>контактный телефон (81531)5-45-58</t>
  </si>
  <si>
    <t>Инженер ПТО ______________________Папина Светлана Николаевна</t>
  </si>
  <si>
    <t>Исполнитель (должность) Инженер ПТО________________________</t>
  </si>
</sst>
</file>

<file path=xl/styles.xml><?xml version="1.0" encoding="utf-8"?>
<styleSheet xmlns="http://schemas.openxmlformats.org/spreadsheetml/2006/main">
  <numFmts count="6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[Red]\(&quot;$&quot;#,##0\)"/>
    <numFmt numFmtId="173" formatCode="_-* #,##0_$_-;\-* #,##0_$_-;_-* &quot;-&quot;_$_-;_-@_-"/>
    <numFmt numFmtId="174" formatCode="_-* #,##0.00&quot;$&quot;_-;\-* #,##0.00&quot;$&quot;_-;_-* &quot;-&quot;??&quot;$&quot;_-;_-@_-"/>
    <numFmt numFmtId="175" formatCode="_-* #,##0.00_$_-;\-* #,##0.00_$_-;_-* &quot;-&quot;??_$_-;_-@_-"/>
    <numFmt numFmtId="176" formatCode="General_)"/>
    <numFmt numFmtId="177" formatCode="0.000"/>
    <numFmt numFmtId="178" formatCode="0.0"/>
    <numFmt numFmtId="179" formatCode="0.00000"/>
    <numFmt numFmtId="180" formatCode="0.0000"/>
    <numFmt numFmtId="181" formatCode="#,##0.000"/>
    <numFmt numFmtId="182" formatCode="#,##0.0"/>
    <numFmt numFmtId="183" formatCode="_-* #,##0.00_р_._-;\-* #,##0.00_р_._-;_-* &quot;-&quot;_р_._-;_-@_-"/>
    <numFmt numFmtId="184" formatCode="#,##0.0000"/>
    <numFmt numFmtId="185" formatCode="_-* #,##0_р_._-;\-* #,##0_р_._-;_-* &quot;-&quot;??_р_._-;_-@_-"/>
    <numFmt numFmtId="186" formatCode="_-* #,##0.000_р_._-;\-* #,##0.000_р_._-;_-* &quot;-&quot;_р_._-;_-@_-"/>
    <numFmt numFmtId="187" formatCode="0.0000000"/>
    <numFmt numFmtId="188" formatCode="0.0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dd/mm/yy;@"/>
    <numFmt numFmtId="195" formatCode="&quot;€&quot;#,##0;\-&quot;€&quot;#,##0"/>
    <numFmt numFmtId="196" formatCode="&quot;€&quot;#,##0;[Red]\-&quot;€&quot;#,##0"/>
    <numFmt numFmtId="197" formatCode="&quot;€&quot;#,##0.00;\-&quot;€&quot;#,##0.00"/>
    <numFmt numFmtId="198" formatCode="&quot;€&quot;#,##0.00;[Red]\-&quot;€&quot;#,##0.00"/>
    <numFmt numFmtId="199" formatCode="_-&quot;€&quot;* #,##0_-;\-&quot;€&quot;* #,##0_-;_-&quot;€&quot;* &quot;-&quot;_-;_-@_-"/>
    <numFmt numFmtId="200" formatCode="_-&quot;€&quot;* #,##0.00_-;\-&quot;€&quot;* #,##0.00_-;_-&quot;€&quot;* &quot;-&quot;??_-;_-@_-"/>
    <numFmt numFmtId="201" formatCode="&quot;$&quot;#,##0_);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0.0%"/>
    <numFmt numFmtId="209" formatCode="0.00000000"/>
    <numFmt numFmtId="210" formatCode="yyyy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_-* #,##0.0_р_._-;\-* #,##0.0_р_._-;_-* &quot;-&quot;?_р_._-;_-@_-"/>
    <numFmt numFmtId="216" formatCode="_-* #,##0.0_р_._-;\-* #,##0.0_р_._-;_-* &quot;-&quot;??_р_._-;_-@_-"/>
    <numFmt numFmtId="217" formatCode="#,##0_ ;\-#,##0\ "/>
    <numFmt numFmtId="218" formatCode="[$-809]dd\ mmmm\ yyyy"/>
    <numFmt numFmtId="219" formatCode="[$-F400]h:mm:ss\ AM/PM"/>
    <numFmt numFmtId="220" formatCode="[$-419]mmmm\ yyyy;@"/>
    <numFmt numFmtId="221" formatCode="#,##0.000_ ;\-#,##0.000\ "/>
    <numFmt numFmtId="222" formatCode="#,##0.000000"/>
    <numFmt numFmtId="223" formatCode="#,##0.00000"/>
  </numFmts>
  <fonts count="95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10"/>
      <name val="Times New Roman CYR"/>
      <family val="1"/>
    </font>
    <font>
      <sz val="10"/>
      <color indexed="10"/>
      <name val="Times New Roman Cyr"/>
      <family val="0"/>
    </font>
    <font>
      <b/>
      <sz val="14"/>
      <color indexed="8"/>
      <name val="Franklin Gothic Medium"/>
      <family val="2"/>
    </font>
    <font>
      <b/>
      <sz val="9"/>
      <color indexed="8"/>
      <name val="Tahoma"/>
      <family val="2"/>
    </font>
    <font>
      <i/>
      <sz val="9"/>
      <color indexed="8"/>
      <name val="Tahoma"/>
      <family val="2"/>
    </font>
    <font>
      <b/>
      <sz val="9"/>
      <color indexed="21"/>
      <name val="Tahoma"/>
      <family val="2"/>
    </font>
    <font>
      <sz val="9"/>
      <color indexed="21"/>
      <name val="Tahoma"/>
      <family val="2"/>
    </font>
    <font>
      <b/>
      <sz val="9"/>
      <color indexed="46"/>
      <name val="Tahoma"/>
      <family val="2"/>
    </font>
    <font>
      <sz val="9"/>
      <color indexed="46"/>
      <name val="Tahoma"/>
      <family val="2"/>
    </font>
    <font>
      <b/>
      <sz val="9"/>
      <color indexed="16"/>
      <name val="Tahoma"/>
      <family val="2"/>
    </font>
    <font>
      <b/>
      <sz val="9"/>
      <color indexed="12"/>
      <name val="Tahoma"/>
      <family val="2"/>
    </font>
    <font>
      <sz val="9"/>
      <color indexed="61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14"/>
      <name val="Tahoma"/>
      <family val="2"/>
    </font>
    <font>
      <sz val="12"/>
      <name val="Tahoma"/>
      <family val="2"/>
    </font>
    <font>
      <sz val="10"/>
      <name val="Times New Roman"/>
      <family val="1"/>
    </font>
    <font>
      <b/>
      <sz val="11"/>
      <name val="Tahoma"/>
      <family val="2"/>
    </font>
    <font>
      <sz val="14"/>
      <name val="Tahoma"/>
      <family val="2"/>
    </font>
    <font>
      <sz val="8"/>
      <color indexed="10"/>
      <name val="Tahoma"/>
      <family val="2"/>
    </font>
    <font>
      <sz val="8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ahoma"/>
      <family val="2"/>
    </font>
    <font>
      <b/>
      <sz val="9"/>
      <color indexed="10"/>
      <name val="Tahoma"/>
      <family val="2"/>
    </font>
    <font>
      <b/>
      <sz val="8"/>
      <name val="Tahoma"/>
      <family val="2"/>
    </font>
    <font>
      <sz val="11"/>
      <name val="Arial Cyr"/>
      <family val="0"/>
    </font>
    <font>
      <b/>
      <sz val="10"/>
      <color indexed="8"/>
      <name val="Tahoma"/>
      <family val="2"/>
    </font>
    <font>
      <b/>
      <sz val="12"/>
      <name val="Times New Roman"/>
      <family val="1"/>
    </font>
    <font>
      <b/>
      <sz val="11"/>
      <name val="Arial Cyr"/>
      <family val="0"/>
    </font>
    <font>
      <b/>
      <sz val="12"/>
      <name val="Franklin Gothic Medium"/>
      <family val="2"/>
    </font>
    <font>
      <sz val="11"/>
      <name val="Times New Roman"/>
      <family val="1"/>
    </font>
    <font>
      <b/>
      <sz val="13"/>
      <name val="Times New Roman"/>
      <family val="1"/>
    </font>
    <font>
      <b/>
      <i/>
      <sz val="10"/>
      <name val="Tahoma"/>
      <family val="2"/>
    </font>
    <font>
      <b/>
      <sz val="11"/>
      <name val="Times New Roman"/>
      <family val="1"/>
    </font>
    <font>
      <b/>
      <sz val="16"/>
      <name val="Arial Cyr"/>
      <family val="0"/>
    </font>
    <font>
      <b/>
      <sz val="12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9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9"/>
      <color rgb="FFFF0000"/>
      <name val="Tahoma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67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86">
    <xf numFmtId="49" fontId="0" fillId="0" borderId="0" applyBorder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172" fontId="6" fillId="0" borderId="0" applyFont="0" applyFill="0" applyBorder="0" applyAlignment="0" applyProtection="0"/>
    <xf numFmtId="49" fontId="0" fillId="0" borderId="0" applyBorder="0">
      <alignment vertical="top"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176" fontId="4" fillId="0" borderId="1">
      <alignment/>
      <protection locked="0"/>
    </xf>
    <xf numFmtId="0" fontId="78" fillId="26" borderId="2" applyNumberFormat="0" applyAlignment="0" applyProtection="0"/>
    <xf numFmtId="0" fontId="79" fillId="27" borderId="3" applyNumberFormat="0" applyAlignment="0" applyProtection="0"/>
    <xf numFmtId="0" fontId="80" fillId="27" borderId="2" applyNumberFormat="0" applyAlignment="0" applyProtection="0"/>
    <xf numFmtId="0" fontId="17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3" fillId="0" borderId="6" applyNumberFormat="0" applyFill="0" applyAlignment="0" applyProtection="0"/>
    <xf numFmtId="0" fontId="83" fillId="0" borderId="0" applyNumberFormat="0" applyFill="0" applyBorder="0" applyAlignment="0" applyProtection="0"/>
    <xf numFmtId="0" fontId="15" fillId="0" borderId="7" applyBorder="0">
      <alignment horizontal="center" vertical="center" wrapText="1"/>
      <protection/>
    </xf>
    <xf numFmtId="176" fontId="10" fillId="28" borderId="1">
      <alignment/>
      <protection/>
    </xf>
    <xf numFmtId="4" fontId="0" fillId="29" borderId="8" applyBorder="0">
      <alignment horizontal="right"/>
      <protection/>
    </xf>
    <xf numFmtId="0" fontId="84" fillId="0" borderId="9" applyNumberFormat="0" applyFill="0" applyAlignment="0" applyProtection="0"/>
    <xf numFmtId="0" fontId="85" fillId="30" borderId="10" applyNumberFormat="0" applyAlignment="0" applyProtection="0"/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0" fontId="11" fillId="31" borderId="0" applyFill="0">
      <alignment wrapText="1"/>
      <protection/>
    </xf>
    <xf numFmtId="0" fontId="86" fillId="0" borderId="0" applyNumberFormat="0" applyFill="0" applyBorder="0" applyAlignment="0" applyProtection="0"/>
    <xf numFmtId="0" fontId="87" fillId="3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4" fillId="0" borderId="0" applyNumberFormat="0" applyFill="0" applyBorder="0" applyAlignment="0" applyProtection="0"/>
    <xf numFmtId="0" fontId="88" fillId="33" borderId="0" applyNumberFormat="0" applyBorder="0" applyAlignment="0" applyProtection="0"/>
    <xf numFmtId="0" fontId="89" fillId="0" borderId="0" applyNumberFormat="0" applyFill="0" applyBorder="0" applyAlignment="0" applyProtection="0"/>
    <xf numFmtId="0" fontId="0" fillId="34" borderId="11" applyNumberFormat="0" applyFont="0" applyAlignment="0" applyProtection="0"/>
    <xf numFmtId="9" fontId="4" fillId="0" borderId="0" applyFont="0" applyFill="0" applyBorder="0" applyAlignment="0" applyProtection="0"/>
    <xf numFmtId="0" fontId="90" fillId="0" borderId="12" applyNumberFormat="0" applyFill="0" applyAlignment="0" applyProtection="0"/>
    <xf numFmtId="0" fontId="5" fillId="0" borderId="0">
      <alignment/>
      <protection/>
    </xf>
    <xf numFmtId="0" fontId="91" fillId="0" borderId="0" applyNumberFormat="0" applyFill="0" applyBorder="0" applyAlignment="0" applyProtection="0"/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" fontId="0" fillId="31" borderId="0" applyBorder="0">
      <alignment horizontal="right"/>
      <protection/>
    </xf>
    <xf numFmtId="4" fontId="0" fillId="31" borderId="0" applyBorder="0">
      <alignment horizontal="right"/>
      <protection/>
    </xf>
    <xf numFmtId="4" fontId="0" fillId="35" borderId="13" applyBorder="0">
      <alignment horizontal="right"/>
      <protection/>
    </xf>
    <xf numFmtId="4" fontId="0" fillId="31" borderId="8" applyFont="0" applyBorder="0">
      <alignment horizontal="right"/>
      <protection/>
    </xf>
    <xf numFmtId="4" fontId="0" fillId="31" borderId="8" applyFont="0" applyBorder="0">
      <alignment horizontal="right"/>
      <protection/>
    </xf>
    <xf numFmtId="0" fontId="92" fillId="36" borderId="0" applyNumberFormat="0" applyBorder="0" applyAlignment="0" applyProtection="0"/>
  </cellStyleXfs>
  <cellXfs count="902">
    <xf numFmtId="49" fontId="0" fillId="0" borderId="0" xfId="0" applyAlignment="1">
      <alignment vertical="top"/>
    </xf>
    <xf numFmtId="49" fontId="0" fillId="0" borderId="0" xfId="0" applyBorder="1" applyAlignment="1">
      <alignment vertical="top"/>
    </xf>
    <xf numFmtId="49" fontId="0" fillId="0" borderId="0" xfId="0" applyAlignment="1">
      <alignment horizontal="right" vertical="top"/>
    </xf>
    <xf numFmtId="49" fontId="0" fillId="0" borderId="0" xfId="0" applyAlignment="1">
      <alignment horizontal="centerContinuous" vertical="top"/>
    </xf>
    <xf numFmtId="0" fontId="15" fillId="0" borderId="8" xfId="55" applyBorder="1">
      <alignment horizontal="center" vertical="center" wrapText="1"/>
      <protection/>
    </xf>
    <xf numFmtId="49" fontId="0" fillId="0" borderId="14" xfId="0" applyBorder="1" applyAlignment="1">
      <alignment vertical="top"/>
    </xf>
    <xf numFmtId="49" fontId="0" fillId="0" borderId="15" xfId="0" applyBorder="1" applyAlignment="1">
      <alignment vertical="top"/>
    </xf>
    <xf numFmtId="49" fontId="0" fillId="0" borderId="0" xfId="0" applyBorder="1" applyAlignment="1">
      <alignment vertical="top"/>
    </xf>
    <xf numFmtId="0" fontId="15" fillId="0" borderId="16" xfId="55" applyBorder="1">
      <alignment horizontal="center" vertical="center" wrapText="1"/>
      <protection/>
    </xf>
    <xf numFmtId="0" fontId="15" fillId="0" borderId="14" xfId="55" applyBorder="1">
      <alignment horizontal="center" vertical="center" wrapText="1"/>
      <protection/>
    </xf>
    <xf numFmtId="49" fontId="0" fillId="0" borderId="0" xfId="0" applyAlignment="1">
      <alignment vertical="top"/>
    </xf>
    <xf numFmtId="49" fontId="15" fillId="0" borderId="0" xfId="0" applyFont="1" applyAlignment="1">
      <alignment horizontal="centerContinuous" vertical="top"/>
    </xf>
    <xf numFmtId="49" fontId="0" fillId="0" borderId="17" xfId="0" applyBorder="1" applyAlignment="1">
      <alignment vertical="top"/>
    </xf>
    <xf numFmtId="0" fontId="9" fillId="0" borderId="0" xfId="50" applyFont="1" applyAlignment="1">
      <alignment horizontal="centerContinuous" vertical="center" wrapText="1"/>
      <protection/>
    </xf>
    <xf numFmtId="0" fontId="0" fillId="0" borderId="0" xfId="0" applyNumberFormat="1" applyAlignment="1">
      <alignment vertical="top"/>
    </xf>
    <xf numFmtId="49" fontId="0" fillId="37" borderId="0" xfId="0" applyFill="1" applyAlignment="1">
      <alignment vertical="top"/>
    </xf>
    <xf numFmtId="49" fontId="0" fillId="38" borderId="0" xfId="0" applyFill="1" applyAlignment="1">
      <alignment vertical="top"/>
    </xf>
    <xf numFmtId="14" fontId="0" fillId="0" borderId="0" xfId="0" applyNumberFormat="1" applyAlignment="1">
      <alignment vertical="top"/>
    </xf>
    <xf numFmtId="49" fontId="0" fillId="0" borderId="13" xfId="0" applyBorder="1" applyAlignment="1" applyProtection="1">
      <alignment vertical="top"/>
      <protection locked="0"/>
    </xf>
    <xf numFmtId="49" fontId="0" fillId="0" borderId="15" xfId="0" applyBorder="1" applyAlignment="1" applyProtection="1">
      <alignment vertical="top"/>
      <protection locked="0"/>
    </xf>
    <xf numFmtId="49" fontId="0" fillId="0" borderId="0" xfId="0" applyBorder="1" applyAlignment="1" applyProtection="1">
      <alignment vertical="top"/>
      <protection locked="0"/>
    </xf>
    <xf numFmtId="0" fontId="15" fillId="0" borderId="13" xfId="55" applyBorder="1" applyProtection="1">
      <alignment horizontal="center" vertical="center" wrapText="1"/>
      <protection locked="0"/>
    </xf>
    <xf numFmtId="0" fontId="15" fillId="0" borderId="18" xfId="55" applyBorder="1" applyProtection="1">
      <alignment horizontal="center" vertical="center" wrapText="1"/>
      <protection locked="0"/>
    </xf>
    <xf numFmtId="0" fontId="15" fillId="0" borderId="19" xfId="55" applyBorder="1" applyProtection="1">
      <alignment horizontal="center" vertical="center" wrapText="1"/>
      <protection locked="0"/>
    </xf>
    <xf numFmtId="0" fontId="15" fillId="0" borderId="14" xfId="55" applyBorder="1" applyProtection="1">
      <alignment horizontal="center" vertical="center" wrapText="1"/>
      <protection locked="0"/>
    </xf>
    <xf numFmtId="0" fontId="15" fillId="0" borderId="8" xfId="55" applyBorder="1" applyProtection="1">
      <alignment horizontal="center" vertical="center" wrapText="1"/>
      <protection locked="0"/>
    </xf>
    <xf numFmtId="0" fontId="15" fillId="0" borderId="16" xfId="55" applyBorder="1" applyProtection="1">
      <alignment horizontal="center" vertical="center" wrapText="1"/>
      <protection locked="0"/>
    </xf>
    <xf numFmtId="49" fontId="0" fillId="0" borderId="20" xfId="0" applyBorder="1" applyAlignment="1" applyProtection="1">
      <alignment vertical="top"/>
      <protection locked="0"/>
    </xf>
    <xf numFmtId="49" fontId="0" fillId="0" borderId="21" xfId="0" applyBorder="1" applyAlignment="1" applyProtection="1">
      <alignment vertical="top"/>
      <protection locked="0"/>
    </xf>
    <xf numFmtId="49" fontId="0" fillId="0" borderId="0" xfId="0" applyAlignment="1" applyProtection="1">
      <alignment vertical="top"/>
      <protection locked="0"/>
    </xf>
    <xf numFmtId="0" fontId="18" fillId="0" borderId="19" xfId="0" applyNumberFormat="1" applyFont="1" applyBorder="1" applyAlignment="1" applyProtection="1">
      <alignment horizontal="left" vertical="top"/>
      <protection locked="0"/>
    </xf>
    <xf numFmtId="49" fontId="0" fillId="0" borderId="14" xfId="0" applyBorder="1" applyAlignment="1" applyProtection="1">
      <alignment vertical="top"/>
      <protection locked="0"/>
    </xf>
    <xf numFmtId="0" fontId="18" fillId="0" borderId="16" xfId="0" applyNumberFormat="1" applyFont="1" applyBorder="1" applyAlignment="1" applyProtection="1">
      <alignment horizontal="left" vertical="top"/>
      <protection locked="0"/>
    </xf>
    <xf numFmtId="0" fontId="18" fillId="0" borderId="21" xfId="0" applyNumberFormat="1" applyFont="1" applyBorder="1" applyAlignment="1" applyProtection="1">
      <alignment horizontal="left" vertical="top"/>
      <protection locked="0"/>
    </xf>
    <xf numFmtId="49" fontId="19" fillId="0" borderId="0" xfId="0" applyNumberFormat="1" applyFont="1" applyFill="1" applyBorder="1" applyAlignment="1" applyProtection="1">
      <alignment vertical="top"/>
      <protection/>
    </xf>
    <xf numFmtId="0" fontId="15" fillId="0" borderId="13" xfId="55" applyBorder="1">
      <alignment horizontal="center" vertical="center" wrapText="1"/>
      <protection/>
    </xf>
    <xf numFmtId="0" fontId="15" fillId="0" borderId="18" xfId="55" applyBorder="1">
      <alignment horizontal="center" vertical="center" wrapText="1"/>
      <protection/>
    </xf>
    <xf numFmtId="0" fontId="15" fillId="0" borderId="19" xfId="55" applyBorder="1">
      <alignment horizontal="center" vertical="center" wrapText="1"/>
      <protection/>
    </xf>
    <xf numFmtId="0" fontId="15" fillId="0" borderId="17" xfId="55" applyBorder="1">
      <alignment horizontal="center" vertical="center" wrapText="1"/>
      <protection/>
    </xf>
    <xf numFmtId="49" fontId="0" fillId="0" borderId="8" xfId="0" applyBorder="1" applyAlignment="1">
      <alignment vertical="top" wrapText="1"/>
    </xf>
    <xf numFmtId="4" fontId="0" fillId="31" borderId="14" xfId="80" applyBorder="1">
      <alignment horizontal="right"/>
      <protection/>
    </xf>
    <xf numFmtId="49" fontId="0" fillId="0" borderId="17" xfId="0" applyBorder="1" applyAlignment="1">
      <alignment vertical="top" wrapText="1"/>
    </xf>
    <xf numFmtId="49" fontId="15" fillId="0" borderId="15" xfId="0" applyFont="1" applyBorder="1" applyAlignment="1">
      <alignment vertical="top"/>
    </xf>
    <xf numFmtId="49" fontId="15" fillId="0" borderId="20" xfId="0" applyFont="1" applyBorder="1" applyAlignment="1">
      <alignment vertical="top" wrapText="1"/>
    </xf>
    <xf numFmtId="49" fontId="15" fillId="0" borderId="22" xfId="0" applyFont="1" applyBorder="1" applyAlignment="1">
      <alignment vertical="top"/>
    </xf>
    <xf numFmtId="4" fontId="15" fillId="31" borderId="15" xfId="80" applyFont="1" applyBorder="1">
      <alignment horizontal="right"/>
      <protection/>
    </xf>
    <xf numFmtId="0" fontId="19" fillId="0" borderId="0" xfId="0" applyNumberFormat="1" applyFont="1" applyFill="1" applyBorder="1" applyAlignment="1" applyProtection="1">
      <alignment vertical="top" wrapText="1"/>
      <protection/>
    </xf>
    <xf numFmtId="0" fontId="19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>
      <alignment vertical="top" wrapText="1"/>
    </xf>
    <xf numFmtId="0" fontId="15" fillId="0" borderId="15" xfId="55" applyBorder="1">
      <alignment horizontal="center" vertical="center" wrapText="1"/>
      <protection/>
    </xf>
    <xf numFmtId="0" fontId="15" fillId="0" borderId="20" xfId="55" applyBorder="1">
      <alignment horizontal="center" vertical="center" wrapText="1"/>
      <protection/>
    </xf>
    <xf numFmtId="0" fontId="15" fillId="0" borderId="21" xfId="55" applyBorder="1">
      <alignment horizontal="center" vertical="center" wrapText="1"/>
      <protection/>
    </xf>
    <xf numFmtId="4" fontId="0" fillId="31" borderId="13" xfId="80" applyBorder="1">
      <alignment horizontal="right"/>
      <protection/>
    </xf>
    <xf numFmtId="4" fontId="0" fillId="31" borderId="18" xfId="80" applyBorder="1">
      <alignment horizontal="right"/>
      <protection/>
    </xf>
    <xf numFmtId="4" fontId="0" fillId="31" borderId="19" xfId="80" applyBorder="1">
      <alignment horizontal="right"/>
      <protection/>
    </xf>
    <xf numFmtId="4" fontId="0" fillId="31" borderId="8" xfId="80" applyBorder="1">
      <alignment horizontal="right"/>
      <protection/>
    </xf>
    <xf numFmtId="4" fontId="0" fillId="31" borderId="16" xfId="80" applyBorder="1">
      <alignment horizontal="right"/>
      <protection/>
    </xf>
    <xf numFmtId="49" fontId="0" fillId="0" borderId="8" xfId="0" applyBorder="1" applyAlignment="1">
      <alignment vertical="top"/>
    </xf>
    <xf numFmtId="49" fontId="0" fillId="0" borderId="16" xfId="0" applyBorder="1" applyAlignment="1">
      <alignment vertical="top"/>
    </xf>
    <xf numFmtId="49" fontId="20" fillId="0" borderId="0" xfId="0" applyFont="1" applyAlignment="1">
      <alignment vertical="top"/>
    </xf>
    <xf numFmtId="4" fontId="0" fillId="31" borderId="15" xfId="80" applyBorder="1">
      <alignment horizontal="right"/>
      <protection/>
    </xf>
    <xf numFmtId="0" fontId="0" fillId="0" borderId="0" xfId="0" applyNumberFormat="1" applyAlignment="1">
      <alignment vertical="top" wrapText="1"/>
    </xf>
    <xf numFmtId="0" fontId="15" fillId="0" borderId="23" xfId="55" applyBorder="1">
      <alignment horizontal="center" vertical="center" wrapText="1"/>
      <protection/>
    </xf>
    <xf numFmtId="49" fontId="15" fillId="0" borderId="14" xfId="0" applyFont="1" applyBorder="1" applyAlignment="1">
      <alignment vertical="top"/>
    </xf>
    <xf numFmtId="10" fontId="0" fillId="31" borderId="8" xfId="0" applyNumberFormat="1" applyFont="1" applyFill="1" applyBorder="1" applyAlignment="1">
      <alignment vertical="top"/>
    </xf>
    <xf numFmtId="4" fontId="15" fillId="31" borderId="20" xfId="80" applyFont="1" applyBorder="1">
      <alignment horizontal="right"/>
      <protection/>
    </xf>
    <xf numFmtId="4" fontId="15" fillId="31" borderId="21" xfId="80" applyFont="1" applyBorder="1">
      <alignment horizontal="right"/>
      <protection/>
    </xf>
    <xf numFmtId="10" fontId="0" fillId="31" borderId="14" xfId="0" applyNumberFormat="1" applyFont="1" applyFill="1" applyBorder="1" applyAlignment="1">
      <alignment vertical="top"/>
    </xf>
    <xf numFmtId="10" fontId="0" fillId="31" borderId="16" xfId="0" applyNumberFormat="1" applyFont="1" applyFill="1" applyBorder="1" applyAlignment="1">
      <alignment vertical="top"/>
    </xf>
    <xf numFmtId="0" fontId="15" fillId="0" borderId="24" xfId="55" applyBorder="1">
      <alignment horizontal="center" vertical="center" wrapText="1"/>
      <protection/>
    </xf>
    <xf numFmtId="49" fontId="0" fillId="0" borderId="15" xfId="0" applyFont="1" applyBorder="1" applyAlignment="1">
      <alignment vertical="top"/>
    </xf>
    <xf numFmtId="49" fontId="0" fillId="0" borderId="20" xfId="0" applyFont="1" applyBorder="1" applyAlignment="1">
      <alignment vertical="top"/>
    </xf>
    <xf numFmtId="49" fontId="0" fillId="0" borderId="21" xfId="0" applyFont="1" applyBorder="1" applyAlignment="1">
      <alignment vertical="top"/>
    </xf>
    <xf numFmtId="49" fontId="18" fillId="0" borderId="0" xfId="0" applyFont="1" applyAlignment="1">
      <alignment vertical="top"/>
    </xf>
    <xf numFmtId="49" fontId="18" fillId="0" borderId="0" xfId="0" applyFont="1" applyAlignment="1">
      <alignment vertical="top" wrapText="1"/>
    </xf>
    <xf numFmtId="49" fontId="18" fillId="0" borderId="0" xfId="0" applyFont="1" applyAlignment="1">
      <alignment horizontal="right" vertical="top"/>
    </xf>
    <xf numFmtId="49" fontId="18" fillId="0" borderId="0" xfId="0" applyFont="1" applyBorder="1" applyAlignment="1">
      <alignment horizontal="centerContinuous" vertical="top"/>
    </xf>
    <xf numFmtId="49" fontId="18" fillId="0" borderId="0" xfId="0" applyFont="1" applyAlignment="1">
      <alignment horizontal="centerContinuous" vertical="top"/>
    </xf>
    <xf numFmtId="0" fontId="22" fillId="0" borderId="18" xfId="55" applyFont="1" applyBorder="1">
      <alignment horizontal="center" vertical="center" wrapText="1"/>
      <protection/>
    </xf>
    <xf numFmtId="0" fontId="22" fillId="0" borderId="8" xfId="55" applyFont="1" applyBorder="1">
      <alignment horizontal="center" vertical="center" wrapText="1"/>
      <protection/>
    </xf>
    <xf numFmtId="0" fontId="22" fillId="0" borderId="16" xfId="55" applyFont="1" applyBorder="1">
      <alignment horizontal="center" vertical="center" wrapText="1"/>
      <protection/>
    </xf>
    <xf numFmtId="0" fontId="22" fillId="0" borderId="25" xfId="55" applyFont="1" applyBorder="1">
      <alignment horizontal="center" vertical="center" wrapText="1"/>
      <protection/>
    </xf>
    <xf numFmtId="0" fontId="22" fillId="0" borderId="26" xfId="55" applyFont="1" applyBorder="1">
      <alignment horizontal="center" vertical="center" wrapText="1"/>
      <protection/>
    </xf>
    <xf numFmtId="0" fontId="22" fillId="0" borderId="26" xfId="55" applyFont="1" applyBorder="1" applyAlignment="1">
      <alignment horizontal="center" vertical="center" wrapText="1"/>
      <protection/>
    </xf>
    <xf numFmtId="0" fontId="22" fillId="0" borderId="27" xfId="55" applyFont="1" applyBorder="1">
      <alignment horizontal="center" vertical="center" wrapText="1"/>
      <protection/>
    </xf>
    <xf numFmtId="49" fontId="18" fillId="0" borderId="13" xfId="0" applyFont="1" applyBorder="1" applyAlignment="1">
      <alignment vertical="top"/>
    </xf>
    <xf numFmtId="49" fontId="18" fillId="0" borderId="18" xfId="0" applyFont="1" applyBorder="1" applyAlignment="1">
      <alignment vertical="top" wrapText="1"/>
    </xf>
    <xf numFmtId="49" fontId="18" fillId="0" borderId="18" xfId="0" applyFont="1" applyBorder="1" applyAlignment="1">
      <alignment vertical="top"/>
    </xf>
    <xf numFmtId="49" fontId="18" fillId="0" borderId="19" xfId="0" applyFont="1" applyBorder="1" applyAlignment="1">
      <alignment vertical="top"/>
    </xf>
    <xf numFmtId="49" fontId="18" fillId="0" borderId="14" xfId="0" applyFont="1" applyBorder="1" applyAlignment="1">
      <alignment vertical="top"/>
    </xf>
    <xf numFmtId="49" fontId="18" fillId="0" borderId="8" xfId="0" applyFont="1" applyBorder="1" applyAlignment="1">
      <alignment vertical="top" wrapText="1"/>
    </xf>
    <xf numFmtId="4" fontId="18" fillId="31" borderId="8" xfId="81" applyFont="1" applyFill="1" applyBorder="1">
      <alignment horizontal="right"/>
      <protection/>
    </xf>
    <xf numFmtId="4" fontId="18" fillId="31" borderId="16" xfId="81" applyFont="1" applyFill="1" applyBorder="1">
      <alignment horizontal="right"/>
      <protection/>
    </xf>
    <xf numFmtId="49" fontId="0" fillId="0" borderId="8" xfId="0" applyFont="1" applyBorder="1" applyAlignment="1">
      <alignment vertical="top" wrapText="1"/>
    </xf>
    <xf numFmtId="49" fontId="22" fillId="0" borderId="14" xfId="0" applyFont="1" applyBorder="1" applyAlignment="1">
      <alignment vertical="top"/>
    </xf>
    <xf numFmtId="49" fontId="22" fillId="0" borderId="8" xfId="0" applyFont="1" applyBorder="1" applyAlignment="1">
      <alignment vertical="top" wrapText="1"/>
    </xf>
    <xf numFmtId="4" fontId="22" fillId="31" borderId="8" xfId="81" applyFont="1" applyFill="1" applyBorder="1">
      <alignment horizontal="right"/>
      <protection/>
    </xf>
    <xf numFmtId="4" fontId="18" fillId="0" borderId="8" xfId="81" applyFont="1" applyFill="1" applyBorder="1">
      <alignment horizontal="right"/>
      <protection/>
    </xf>
    <xf numFmtId="4" fontId="18" fillId="31" borderId="8" xfId="84" applyFont="1" applyFill="1" applyBorder="1">
      <alignment horizontal="right"/>
      <protection/>
    </xf>
    <xf numFmtId="49" fontId="0" fillId="0" borderId="8" xfId="0" applyFill="1" applyBorder="1" applyAlignment="1">
      <alignment vertical="top" wrapText="1"/>
    </xf>
    <xf numFmtId="49" fontId="18" fillId="0" borderId="8" xfId="0" applyFont="1" applyBorder="1" applyAlignment="1">
      <alignment vertical="top"/>
    </xf>
    <xf numFmtId="4" fontId="18" fillId="31" borderId="8" xfId="80" applyFont="1" applyFill="1" applyBorder="1">
      <alignment horizontal="right"/>
      <protection/>
    </xf>
    <xf numFmtId="49" fontId="18" fillId="0" borderId="14" xfId="0" applyNumberFormat="1" applyFont="1" applyBorder="1" applyAlignment="1">
      <alignment vertical="top"/>
    </xf>
    <xf numFmtId="49" fontId="23" fillId="0" borderId="8" xfId="0" applyFont="1" applyBorder="1" applyAlignment="1">
      <alignment vertical="top" wrapText="1"/>
    </xf>
    <xf numFmtId="4" fontId="18" fillId="0" borderId="8" xfId="57" applyFont="1" applyFill="1" applyBorder="1">
      <alignment horizontal="right"/>
      <protection/>
    </xf>
    <xf numFmtId="49" fontId="18" fillId="0" borderId="8" xfId="0" applyFont="1" applyFill="1" applyBorder="1" applyAlignment="1">
      <alignment vertical="top"/>
    </xf>
    <xf numFmtId="49" fontId="18" fillId="0" borderId="16" xfId="0" applyFont="1" applyFill="1" applyBorder="1" applyAlignment="1">
      <alignment vertical="top"/>
    </xf>
    <xf numFmtId="49" fontId="22" fillId="0" borderId="0" xfId="0" applyFont="1" applyAlignment="1">
      <alignment vertical="top"/>
    </xf>
    <xf numFmtId="49" fontId="18" fillId="0" borderId="14" xfId="0" applyFont="1" applyFill="1" applyBorder="1" applyAlignment="1">
      <alignment vertical="top"/>
    </xf>
    <xf numFmtId="49" fontId="18" fillId="0" borderId="8" xfId="0" applyFont="1" applyFill="1" applyBorder="1" applyAlignment="1">
      <alignment vertical="top" wrapText="1"/>
    </xf>
    <xf numFmtId="4" fontId="18" fillId="0" borderId="8" xfId="84" applyFont="1" applyFill="1" applyBorder="1">
      <alignment horizontal="right"/>
      <protection/>
    </xf>
    <xf numFmtId="49" fontId="18" fillId="0" borderId="0" xfId="0" applyFont="1" applyFill="1" applyAlignment="1">
      <alignment vertical="top"/>
    </xf>
    <xf numFmtId="49" fontId="18" fillId="0" borderId="8" xfId="0" applyFont="1" applyFill="1" applyBorder="1" applyAlignment="1">
      <alignment vertical="top"/>
    </xf>
    <xf numFmtId="49" fontId="18" fillId="0" borderId="16" xfId="0" applyFont="1" applyFill="1" applyBorder="1" applyAlignment="1">
      <alignment vertical="top"/>
    </xf>
    <xf numFmtId="4" fontId="18" fillId="31" borderId="8" xfId="57" applyFont="1" applyFill="1" applyBorder="1">
      <alignment horizontal="right"/>
      <protection/>
    </xf>
    <xf numFmtId="49" fontId="18" fillId="0" borderId="15" xfId="0" applyFont="1" applyBorder="1" applyAlignment="1">
      <alignment vertical="top"/>
    </xf>
    <xf numFmtId="49" fontId="0" fillId="0" borderId="20" xfId="0" applyFill="1" applyBorder="1" applyAlignment="1">
      <alignment vertical="top" wrapText="1"/>
    </xf>
    <xf numFmtId="49" fontId="18" fillId="0" borderId="20" xfId="0" applyFont="1" applyBorder="1" applyAlignment="1">
      <alignment vertical="top" wrapText="1"/>
    </xf>
    <xf numFmtId="49" fontId="18" fillId="0" borderId="0" xfId="0" applyFont="1" applyBorder="1" applyAlignment="1">
      <alignment vertical="top"/>
    </xf>
    <xf numFmtId="49" fontId="18" fillId="0" borderId="0" xfId="0" applyFont="1" applyBorder="1" applyAlignment="1">
      <alignment vertical="top" wrapText="1"/>
    </xf>
    <xf numFmtId="0" fontId="0" fillId="0" borderId="8" xfId="0" applyNumberFormat="1" applyFill="1" applyBorder="1" applyAlignment="1" applyProtection="1">
      <alignment vertical="top"/>
      <protection/>
    </xf>
    <xf numFmtId="0" fontId="15" fillId="0" borderId="8" xfId="0" applyNumberFormat="1" applyFont="1" applyFill="1" applyBorder="1" applyAlignment="1" applyProtection="1">
      <alignment horizontal="center" vertical="top"/>
      <protection/>
    </xf>
    <xf numFmtId="43" fontId="24" fillId="0" borderId="8" xfId="78" applyFont="1" applyFill="1" applyBorder="1" applyAlignment="1" applyProtection="1">
      <alignment vertical="top"/>
      <protection/>
    </xf>
    <xf numFmtId="185" fontId="25" fillId="0" borderId="8" xfId="78" applyNumberFormat="1" applyFont="1" applyFill="1" applyBorder="1" applyAlignment="1" applyProtection="1">
      <alignment vertical="top"/>
      <protection/>
    </xf>
    <xf numFmtId="0" fontId="25" fillId="0" borderId="8" xfId="78" applyNumberFormat="1" applyFont="1" applyFill="1" applyBorder="1" applyAlignment="1" applyProtection="1">
      <alignment vertical="top"/>
      <protection/>
    </xf>
    <xf numFmtId="43" fontId="26" fillId="0" borderId="8" xfId="78" applyFont="1" applyFill="1" applyBorder="1" applyAlignment="1" applyProtection="1">
      <alignment vertical="top"/>
      <protection/>
    </xf>
    <xf numFmtId="185" fontId="27" fillId="0" borderId="8" xfId="78" applyNumberFormat="1" applyFont="1" applyFill="1" applyBorder="1" applyAlignment="1" applyProtection="1">
      <alignment vertical="top"/>
      <protection/>
    </xf>
    <xf numFmtId="185" fontId="0" fillId="39" borderId="8" xfId="78" applyNumberFormat="1" applyFont="1" applyFill="1" applyBorder="1" applyAlignment="1" applyProtection="1">
      <alignment vertical="top"/>
      <protection/>
    </xf>
    <xf numFmtId="0" fontId="28" fillId="0" borderId="26" xfId="0" applyNumberFormat="1" applyFont="1" applyFill="1" applyBorder="1" applyAlignment="1" applyProtection="1">
      <alignment vertical="top"/>
      <protection/>
    </xf>
    <xf numFmtId="43" fontId="28" fillId="0" borderId="26" xfId="0" applyNumberFormat="1" applyFont="1" applyFill="1" applyBorder="1" applyAlignment="1" applyProtection="1">
      <alignment vertical="top"/>
      <protection/>
    </xf>
    <xf numFmtId="43" fontId="29" fillId="0" borderId="8" xfId="0" applyNumberFormat="1" applyFont="1" applyFill="1" applyBorder="1" applyAlignment="1" applyProtection="1">
      <alignment vertical="top"/>
      <protection/>
    </xf>
    <xf numFmtId="4" fontId="18" fillId="40" borderId="8" xfId="81" applyFont="1" applyFill="1" applyBorder="1">
      <alignment horizontal="right"/>
      <protection/>
    </xf>
    <xf numFmtId="0" fontId="9" fillId="0" borderId="0" xfId="50" applyBorder="1" applyAlignment="1">
      <alignment horizontal="centerContinuous" vertical="center" wrapText="1"/>
      <protection/>
    </xf>
    <xf numFmtId="49" fontId="0" fillId="0" borderId="0" xfId="0" applyBorder="1" applyAlignment="1">
      <alignment horizontal="centerContinuous" vertical="top"/>
    </xf>
    <xf numFmtId="49" fontId="0" fillId="0" borderId="28" xfId="0" applyBorder="1" applyAlignment="1">
      <alignment vertical="top"/>
    </xf>
    <xf numFmtId="49" fontId="0" fillId="0" borderId="29" xfId="0" applyBorder="1" applyAlignment="1">
      <alignment vertical="top" wrapText="1"/>
    </xf>
    <xf numFmtId="49" fontId="0" fillId="0" borderId="29" xfId="0" applyBorder="1" applyAlignment="1">
      <alignment vertical="top"/>
    </xf>
    <xf numFmtId="4" fontId="0" fillId="31" borderId="8" xfId="81" applyBorder="1">
      <alignment horizontal="right"/>
      <protection/>
    </xf>
    <xf numFmtId="4" fontId="0" fillId="31" borderId="16" xfId="81" applyBorder="1">
      <alignment horizontal="right"/>
      <protection/>
    </xf>
    <xf numFmtId="49" fontId="15" fillId="0" borderId="8" xfId="0" applyFont="1" applyBorder="1" applyAlignment="1">
      <alignment vertical="top" wrapText="1"/>
    </xf>
    <xf numFmtId="49" fontId="15" fillId="0" borderId="8" xfId="0" applyFont="1" applyBorder="1" applyAlignment="1">
      <alignment vertical="top"/>
    </xf>
    <xf numFmtId="4" fontId="15" fillId="31" borderId="8" xfId="81" applyFont="1" applyBorder="1">
      <alignment horizontal="right"/>
      <protection/>
    </xf>
    <xf numFmtId="4" fontId="15" fillId="31" borderId="16" xfId="81" applyFont="1" applyBorder="1">
      <alignment horizontal="right"/>
      <protection/>
    </xf>
    <xf numFmtId="49" fontId="0" fillId="0" borderId="8" xfId="0" applyBorder="1" applyAlignment="1">
      <alignment horizontal="left" vertical="top" wrapText="1"/>
    </xf>
    <xf numFmtId="49" fontId="0" fillId="0" borderId="14" xfId="0" applyFill="1" applyBorder="1" applyAlignment="1">
      <alignment vertical="top"/>
    </xf>
    <xf numFmtId="49" fontId="0" fillId="0" borderId="8" xfId="0" applyFill="1" applyBorder="1" applyAlignment="1">
      <alignment vertical="top"/>
    </xf>
    <xf numFmtId="4" fontId="0" fillId="0" borderId="8" xfId="57" applyFill="1" applyBorder="1">
      <alignment horizontal="right"/>
      <protection/>
    </xf>
    <xf numFmtId="4" fontId="0" fillId="0" borderId="8" xfId="81" applyFill="1" applyBorder="1">
      <alignment horizontal="right"/>
      <protection/>
    </xf>
    <xf numFmtId="4" fontId="0" fillId="0" borderId="16" xfId="81" applyFill="1" applyBorder="1">
      <alignment horizontal="right"/>
      <protection/>
    </xf>
    <xf numFmtId="49" fontId="0" fillId="0" borderId="0" xfId="0" applyFill="1" applyAlignment="1">
      <alignment vertical="top"/>
    </xf>
    <xf numFmtId="4" fontId="15" fillId="31" borderId="8" xfId="81" applyFont="1" applyBorder="1" applyProtection="1">
      <alignment horizontal="right"/>
      <protection/>
    </xf>
    <xf numFmtId="49" fontId="0" fillId="0" borderId="20" xfId="0" applyBorder="1" applyAlignment="1">
      <alignment vertical="top" wrapText="1"/>
    </xf>
    <xf numFmtId="49" fontId="0" fillId="0" borderId="20" xfId="0" applyBorder="1" applyAlignment="1">
      <alignment vertical="top"/>
    </xf>
    <xf numFmtId="0" fontId="9" fillId="0" borderId="0" xfId="50" applyAlignment="1">
      <alignment horizontal="centerContinuous" vertical="center" wrapText="1"/>
      <protection/>
    </xf>
    <xf numFmtId="49" fontId="15" fillId="0" borderId="14" xfId="0" applyFont="1" applyBorder="1" applyAlignment="1">
      <alignment vertical="top"/>
    </xf>
    <xf numFmtId="49" fontId="15" fillId="0" borderId="8" xfId="0" applyFont="1" applyBorder="1" applyAlignment="1">
      <alignment vertical="top"/>
    </xf>
    <xf numFmtId="4" fontId="15" fillId="31" borderId="8" xfId="81" applyFont="1" applyBorder="1" applyAlignment="1">
      <alignment horizontal="right" vertical="top"/>
      <protection/>
    </xf>
    <xf numFmtId="4" fontId="15" fillId="31" borderId="16" xfId="81" applyFont="1" applyBorder="1" applyAlignment="1">
      <alignment horizontal="right" vertical="top"/>
      <protection/>
    </xf>
    <xf numFmtId="0" fontId="9" fillId="0" borderId="0" xfId="50" applyFont="1" applyBorder="1" applyAlignment="1">
      <alignment horizontal="centerContinuous" vertical="center" wrapText="1"/>
      <protection/>
    </xf>
    <xf numFmtId="49" fontId="0" fillId="0" borderId="0" xfId="0" applyBorder="1" applyAlignment="1">
      <alignment horizontal="right" vertical="top"/>
    </xf>
    <xf numFmtId="0" fontId="15" fillId="0" borderId="30" xfId="55" applyBorder="1">
      <alignment horizontal="center" vertical="center" wrapText="1"/>
      <protection/>
    </xf>
    <xf numFmtId="0" fontId="15" fillId="0" borderId="30" xfId="55" applyFont="1" applyBorder="1">
      <alignment horizontal="center" vertical="center" wrapText="1"/>
      <protection/>
    </xf>
    <xf numFmtId="0" fontId="15" fillId="0" borderId="8" xfId="55" applyBorder="1" applyAlignment="1">
      <alignment horizontal="center" vertical="center" wrapText="1"/>
      <protection/>
    </xf>
    <xf numFmtId="0" fontId="15" fillId="0" borderId="20" xfId="55" applyBorder="1" applyAlignment="1">
      <alignment horizontal="center" vertical="center" wrapText="1"/>
      <protection/>
    </xf>
    <xf numFmtId="0" fontId="15" fillId="0" borderId="31" xfId="55" applyFont="1" applyBorder="1">
      <alignment horizontal="center" vertical="center" wrapText="1"/>
      <protection/>
    </xf>
    <xf numFmtId="49" fontId="0" fillId="0" borderId="0" xfId="0" applyFill="1" applyBorder="1" applyAlignment="1">
      <alignment vertical="top"/>
    </xf>
    <xf numFmtId="4" fontId="0" fillId="31" borderId="20" xfId="80" applyBorder="1">
      <alignment horizontal="right"/>
      <protection/>
    </xf>
    <xf numFmtId="4" fontId="0" fillId="31" borderId="21" xfId="80" applyBorder="1">
      <alignment horizontal="right"/>
      <protection/>
    </xf>
    <xf numFmtId="0" fontId="0" fillId="0" borderId="0" xfId="0" applyNumberFormat="1" applyFill="1" applyBorder="1" applyAlignment="1">
      <alignment vertical="top"/>
    </xf>
    <xf numFmtId="49" fontId="0" fillId="0" borderId="0" xfId="0" applyFill="1" applyAlignment="1">
      <alignment vertical="top" wrapText="1"/>
    </xf>
    <xf numFmtId="49" fontId="0" fillId="0" borderId="0" xfId="0" applyFill="1" applyBorder="1" applyAlignment="1">
      <alignment vertical="top" wrapText="1"/>
    </xf>
    <xf numFmtId="0" fontId="15" fillId="0" borderId="18" xfId="55" applyFont="1" applyBorder="1">
      <alignment horizontal="center" vertical="center" wrapText="1"/>
      <protection/>
    </xf>
    <xf numFmtId="4" fontId="0" fillId="31" borderId="8" xfId="82" applyFill="1" applyBorder="1">
      <alignment horizontal="right"/>
      <protection/>
    </xf>
    <xf numFmtId="49" fontId="0" fillId="0" borderId="15" xfId="0" applyFill="1" applyBorder="1" applyAlignment="1">
      <alignment vertical="top"/>
    </xf>
    <xf numFmtId="10" fontId="0" fillId="0" borderId="0" xfId="0" applyNumberFormat="1" applyFill="1" applyAlignment="1">
      <alignment vertical="top"/>
    </xf>
    <xf numFmtId="49" fontId="0" fillId="0" borderId="13" xfId="0" applyFill="1" applyBorder="1" applyAlignment="1">
      <alignment vertical="top"/>
    </xf>
    <xf numFmtId="0" fontId="15" fillId="0" borderId="18" xfId="55" applyBorder="1" applyAlignment="1">
      <alignment vertical="center" wrapText="1"/>
      <protection/>
    </xf>
    <xf numFmtId="4" fontId="0" fillId="31" borderId="8" xfId="57" applyFill="1" applyBorder="1">
      <alignment horizontal="right"/>
      <protection/>
    </xf>
    <xf numFmtId="0" fontId="15" fillId="0" borderId="8" xfId="55" applyBorder="1" applyAlignment="1">
      <alignment vertical="center" wrapText="1"/>
      <protection/>
    </xf>
    <xf numFmtId="0" fontId="0" fillId="0" borderId="0" xfId="0" applyNumberFormat="1" applyFill="1" applyAlignment="1">
      <alignment vertical="top"/>
    </xf>
    <xf numFmtId="0" fontId="0" fillId="0" borderId="0" xfId="0" applyNumberFormat="1" applyFill="1" applyAlignment="1">
      <alignment vertical="top" wrapText="1"/>
    </xf>
    <xf numFmtId="49" fontId="0" fillId="0" borderId="0" xfId="0" applyFill="1" applyAlignment="1">
      <alignment horizontal="right" vertical="top"/>
    </xf>
    <xf numFmtId="4" fontId="15" fillId="31" borderId="16" xfId="80" applyFont="1" applyBorder="1">
      <alignment horizontal="right"/>
      <protection/>
    </xf>
    <xf numFmtId="0" fontId="15" fillId="0" borderId="18" xfId="55" applyFont="1" applyBorder="1" applyAlignment="1">
      <alignment horizontal="center" vertical="center" wrapText="1"/>
      <protection/>
    </xf>
    <xf numFmtId="49" fontId="0" fillId="0" borderId="0" xfId="0" applyFill="1" applyBorder="1" applyAlignment="1">
      <alignment horizontal="right" vertical="top"/>
    </xf>
    <xf numFmtId="0" fontId="15" fillId="0" borderId="18" xfId="55" applyBorder="1" applyAlignment="1">
      <alignment horizontal="center" vertical="center" wrapText="1"/>
      <protection/>
    </xf>
    <xf numFmtId="49" fontId="0" fillId="0" borderId="8" xfId="0" applyNumberFormat="1" applyBorder="1" applyAlignment="1">
      <alignment vertical="top"/>
    </xf>
    <xf numFmtId="0" fontId="0" fillId="0" borderId="8" xfId="0" applyNumberFormat="1" applyBorder="1" applyAlignment="1">
      <alignment vertical="top"/>
    </xf>
    <xf numFmtId="17" fontId="0" fillId="0" borderId="8" xfId="0" applyNumberFormat="1" applyBorder="1" applyAlignment="1" quotePrefix="1">
      <alignment vertical="top"/>
    </xf>
    <xf numFmtId="49" fontId="31" fillId="0" borderId="0" xfId="0" applyFont="1" applyAlignment="1">
      <alignment vertical="center" wrapText="1"/>
    </xf>
    <xf numFmtId="49" fontId="31" fillId="0" borderId="0" xfId="0" applyFont="1" applyAlignment="1">
      <alignment horizontal="center" vertical="center" wrapText="1"/>
    </xf>
    <xf numFmtId="49" fontId="32" fillId="0" borderId="0" xfId="0" applyFont="1" applyAlignment="1">
      <alignment horizontal="center" vertical="center" wrapText="1"/>
    </xf>
    <xf numFmtId="49" fontId="31" fillId="0" borderId="0" xfId="0" applyFont="1" applyAlignment="1">
      <alignment horizontal="left" vertical="center" wrapText="1"/>
    </xf>
    <xf numFmtId="49" fontId="32" fillId="0" borderId="0" xfId="0" applyFont="1" applyBorder="1" applyAlignment="1">
      <alignment horizontal="center" vertical="center" wrapText="1"/>
    </xf>
    <xf numFmtId="49" fontId="15" fillId="0" borderId="8" xfId="0" applyFont="1" applyBorder="1" applyAlignment="1">
      <alignment horizontal="center" vertical="center" wrapText="1"/>
    </xf>
    <xf numFmtId="49" fontId="15" fillId="0" borderId="16" xfId="0" applyFont="1" applyBorder="1" applyAlignment="1">
      <alignment horizontal="center" vertical="center" wrapText="1"/>
    </xf>
    <xf numFmtId="49" fontId="35" fillId="41" borderId="14" xfId="0" applyFont="1" applyFill="1" applyBorder="1" applyAlignment="1">
      <alignment horizontal="left" vertical="center" wrapText="1"/>
    </xf>
    <xf numFmtId="49" fontId="33" fillId="41" borderId="8" xfId="0" applyFont="1" applyFill="1" applyBorder="1" applyAlignment="1">
      <alignment vertical="center" wrapText="1"/>
    </xf>
    <xf numFmtId="2" fontId="33" fillId="41" borderId="8" xfId="0" applyNumberFormat="1" applyFont="1" applyFill="1" applyBorder="1" applyAlignment="1">
      <alignment horizontal="center" vertical="center" wrapText="1"/>
    </xf>
    <xf numFmtId="4" fontId="33" fillId="41" borderId="16" xfId="80" applyFont="1" applyFill="1" applyBorder="1" applyAlignment="1">
      <alignment horizontal="center" vertical="center"/>
      <protection/>
    </xf>
    <xf numFmtId="49" fontId="35" fillId="0" borderId="0" xfId="0" applyFont="1" applyAlignment="1">
      <alignment vertical="center" wrapText="1"/>
    </xf>
    <xf numFmtId="49" fontId="32" fillId="0" borderId="14" xfId="0" applyFont="1" applyBorder="1" applyAlignment="1">
      <alignment horizontal="left" vertical="center" wrapText="1"/>
    </xf>
    <xf numFmtId="49" fontId="31" fillId="0" borderId="8" xfId="0" applyFont="1" applyBorder="1" applyAlignment="1">
      <alignment horizontal="left" vertical="center" wrapText="1"/>
    </xf>
    <xf numFmtId="2" fontId="32" fillId="31" borderId="8" xfId="0" applyNumberFormat="1" applyFont="1" applyFill="1" applyBorder="1" applyAlignment="1">
      <alignment horizontal="center" vertical="center" wrapText="1"/>
    </xf>
    <xf numFmtId="4" fontId="32" fillId="31" borderId="16" xfId="80" applyFont="1" applyBorder="1" applyAlignment="1">
      <alignment horizontal="center"/>
      <protection/>
    </xf>
    <xf numFmtId="49" fontId="32" fillId="0" borderId="0" xfId="0" applyFont="1" applyAlignment="1">
      <alignment vertical="center" wrapText="1"/>
    </xf>
    <xf numFmtId="16" fontId="31" fillId="0" borderId="14" xfId="0" applyNumberFormat="1" applyFont="1" applyBorder="1" applyAlignment="1">
      <alignment horizontal="left" vertical="center" wrapText="1"/>
    </xf>
    <xf numFmtId="2" fontId="31" fillId="31" borderId="8" xfId="0" applyNumberFormat="1" applyFont="1" applyFill="1" applyBorder="1" applyAlignment="1">
      <alignment horizontal="center" vertical="center" wrapText="1"/>
    </xf>
    <xf numFmtId="4" fontId="31" fillId="31" borderId="16" xfId="80" applyFont="1" applyBorder="1" applyAlignment="1">
      <alignment horizontal="center"/>
      <protection/>
    </xf>
    <xf numFmtId="16" fontId="0" fillId="0" borderId="14" xfId="0" applyNumberFormat="1" applyFont="1" applyBorder="1" applyAlignment="1">
      <alignment horizontal="left" vertical="center" wrapText="1"/>
    </xf>
    <xf numFmtId="4" fontId="0" fillId="31" borderId="16" xfId="80" applyBorder="1" applyAlignment="1">
      <alignment horizontal="center"/>
      <protection/>
    </xf>
    <xf numFmtId="49" fontId="31" fillId="0" borderId="14" xfId="0" applyFont="1" applyBorder="1" applyAlignment="1">
      <alignment horizontal="left" vertical="center" wrapText="1"/>
    </xf>
    <xf numFmtId="49" fontId="0" fillId="0" borderId="14" xfId="0" applyFont="1" applyBorder="1" applyAlignment="1">
      <alignment horizontal="left" vertical="center" wrapText="1"/>
    </xf>
    <xf numFmtId="49" fontId="31" fillId="0" borderId="0" xfId="0" applyFont="1" applyFill="1" applyAlignment="1">
      <alignment vertical="center" wrapText="1"/>
    </xf>
    <xf numFmtId="49" fontId="15" fillId="0" borderId="14" xfId="0" applyFont="1" applyBorder="1" applyAlignment="1">
      <alignment horizontal="left" vertical="center" wrapText="1"/>
    </xf>
    <xf numFmtId="49" fontId="34" fillId="0" borderId="8" xfId="0" applyFont="1" applyBorder="1" applyAlignment="1">
      <alignment horizontal="center" vertical="center" wrapText="1"/>
    </xf>
    <xf numFmtId="2" fontId="15" fillId="0" borderId="8" xfId="0" applyNumberFormat="1" applyFont="1" applyBorder="1" applyAlignment="1">
      <alignment horizontal="center" vertical="center" wrapText="1"/>
    </xf>
    <xf numFmtId="0" fontId="31" fillId="0" borderId="0" xfId="0" applyNumberFormat="1" applyFont="1" applyAlignment="1">
      <alignment horizontal="left" vertical="center" wrapText="1"/>
    </xf>
    <xf numFmtId="4" fontId="0" fillId="31" borderId="8" xfId="81" applyFill="1" applyBorder="1">
      <alignment horizontal="right"/>
      <protection/>
    </xf>
    <xf numFmtId="0" fontId="0" fillId="0" borderId="8" xfId="0" applyNumberFormat="1" applyBorder="1" applyAlignment="1">
      <alignment vertical="top" wrapText="1"/>
    </xf>
    <xf numFmtId="49" fontId="0" fillId="0" borderId="18" xfId="0" applyBorder="1" applyAlignment="1">
      <alignment vertical="top"/>
    </xf>
    <xf numFmtId="49" fontId="15" fillId="0" borderId="13" xfId="0" applyFont="1" applyBorder="1" applyAlignment="1">
      <alignment horizontal="left" vertical="center" wrapText="1"/>
    </xf>
    <xf numFmtId="49" fontId="0" fillId="0" borderId="18" xfId="0" applyFont="1" applyBorder="1" applyAlignment="1">
      <alignment horizontal="center" vertical="center" wrapText="1"/>
    </xf>
    <xf numFmtId="49" fontId="0" fillId="0" borderId="8" xfId="0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Continuous" vertical="top"/>
    </xf>
    <xf numFmtId="0" fontId="15" fillId="0" borderId="18" xfId="55" applyNumberFormat="1" applyBorder="1">
      <alignment horizontal="center" vertical="center" wrapText="1"/>
      <protection/>
    </xf>
    <xf numFmtId="0" fontId="15" fillId="0" borderId="8" xfId="55" applyNumberFormat="1" applyBorder="1">
      <alignment horizontal="center" vertical="center" wrapText="1"/>
      <protection/>
    </xf>
    <xf numFmtId="0" fontId="0" fillId="0" borderId="0" xfId="0" applyNumberFormat="1" applyBorder="1" applyAlignment="1">
      <alignment vertical="top"/>
    </xf>
    <xf numFmtId="0" fontId="15" fillId="0" borderId="0" xfId="55" applyFont="1" applyBorder="1" applyAlignment="1">
      <alignment horizontal="left" vertical="center" wrapText="1"/>
      <protection/>
    </xf>
    <xf numFmtId="49" fontId="0" fillId="0" borderId="32" xfId="0" applyBorder="1" applyAlignment="1">
      <alignment vertical="top"/>
    </xf>
    <xf numFmtId="49" fontId="0" fillId="0" borderId="33" xfId="0" applyBorder="1" applyAlignment="1">
      <alignment vertical="top"/>
    </xf>
    <xf numFmtId="49" fontId="0" fillId="0" borderId="0" xfId="0" applyFont="1" applyFill="1" applyAlignment="1">
      <alignment vertical="top"/>
    </xf>
    <xf numFmtId="4" fontId="0" fillId="31" borderId="8" xfId="80" applyNumberFormat="1" applyFont="1" applyFill="1" applyBorder="1">
      <alignment horizontal="right"/>
      <protection/>
    </xf>
    <xf numFmtId="4" fontId="0" fillId="31" borderId="8" xfId="80" applyFill="1" applyBorder="1">
      <alignment horizontal="right"/>
      <protection/>
    </xf>
    <xf numFmtId="4" fontId="0" fillId="31" borderId="20" xfId="82" applyFill="1" applyBorder="1">
      <alignment horizontal="right"/>
      <protection/>
    </xf>
    <xf numFmtId="4" fontId="0" fillId="31" borderId="18" xfId="82" applyFill="1" applyBorder="1">
      <alignment horizontal="right"/>
      <protection/>
    </xf>
    <xf numFmtId="4" fontId="15" fillId="31" borderId="21" xfId="82" applyFont="1" applyFill="1" applyBorder="1">
      <alignment horizontal="right"/>
      <protection/>
    </xf>
    <xf numFmtId="0" fontId="22" fillId="0" borderId="14" xfId="55" applyFont="1" applyBorder="1">
      <alignment horizontal="center" vertical="center" wrapText="1"/>
      <protection/>
    </xf>
    <xf numFmtId="0" fontId="22" fillId="0" borderId="8" xfId="55" applyFont="1" applyBorder="1" applyAlignment="1">
      <alignment horizontal="center" vertical="center" wrapText="1"/>
      <protection/>
    </xf>
    <xf numFmtId="0" fontId="15" fillId="0" borderId="19" xfId="55" applyFont="1" applyFill="1" applyBorder="1">
      <alignment horizontal="center" vertical="center" wrapText="1"/>
      <protection/>
    </xf>
    <xf numFmtId="0" fontId="15" fillId="0" borderId="17" xfId="55" applyBorder="1" applyAlignment="1">
      <alignment horizontal="center" vertical="center" wrapText="1"/>
      <protection/>
    </xf>
    <xf numFmtId="49" fontId="0" fillId="0" borderId="0" xfId="0" applyNumberFormat="1" applyAlignment="1">
      <alignment vertical="top"/>
    </xf>
    <xf numFmtId="49" fontId="0" fillId="0" borderId="16" xfId="0" applyFill="1" applyBorder="1" applyAlignment="1">
      <alignment vertical="top"/>
    </xf>
    <xf numFmtId="0" fontId="15" fillId="0" borderId="8" xfId="0" applyNumberFormat="1" applyFont="1" applyFill="1" applyBorder="1" applyAlignment="1" applyProtection="1">
      <alignment vertical="top"/>
      <protection/>
    </xf>
    <xf numFmtId="0" fontId="15" fillId="0" borderId="34" xfId="55" applyFont="1" applyBorder="1" applyAlignment="1">
      <alignment horizontal="center" vertical="center" wrapText="1"/>
      <protection/>
    </xf>
    <xf numFmtId="0" fontId="15" fillId="0" borderId="13" xfId="55" applyBorder="1" applyAlignment="1">
      <alignment vertical="center" wrapText="1"/>
      <protection/>
    </xf>
    <xf numFmtId="10" fontId="0" fillId="31" borderId="19" xfId="0" applyNumberFormat="1" applyFill="1" applyBorder="1" applyAlignment="1">
      <alignment vertical="top"/>
    </xf>
    <xf numFmtId="10" fontId="0" fillId="0" borderId="16" xfId="0" applyNumberFormat="1" applyFill="1" applyBorder="1" applyAlignment="1">
      <alignment vertical="top"/>
    </xf>
    <xf numFmtId="10" fontId="0" fillId="31" borderId="16" xfId="0" applyNumberFormat="1" applyFill="1" applyBorder="1" applyAlignment="1">
      <alignment vertical="top"/>
    </xf>
    <xf numFmtId="0" fontId="15" fillId="0" borderId="14" xfId="55" applyBorder="1" applyAlignment="1">
      <alignment vertical="center" wrapText="1"/>
      <protection/>
    </xf>
    <xf numFmtId="10" fontId="0" fillId="31" borderId="21" xfId="0" applyNumberFormat="1" applyFill="1" applyBorder="1" applyAlignment="1">
      <alignment vertical="top"/>
    </xf>
    <xf numFmtId="49" fontId="0" fillId="0" borderId="17" xfId="0" applyFill="1" applyBorder="1" applyAlignment="1">
      <alignment vertical="top"/>
    </xf>
    <xf numFmtId="49" fontId="0" fillId="0" borderId="17" xfId="0" applyFill="1" applyBorder="1" applyAlignment="1">
      <alignment vertical="top" wrapText="1"/>
    </xf>
    <xf numFmtId="49" fontId="0" fillId="0" borderId="22" xfId="0" applyFill="1" applyBorder="1" applyAlignment="1">
      <alignment vertical="top"/>
    </xf>
    <xf numFmtId="0" fontId="15" fillId="0" borderId="8" xfId="55" applyFont="1" applyBorder="1">
      <alignment horizontal="center" vertical="center" wrapText="1"/>
      <protection/>
    </xf>
    <xf numFmtId="0" fontId="15" fillId="0" borderId="8" xfId="55" applyFont="1" applyFill="1" applyBorder="1">
      <alignment horizontal="center" vertical="center" wrapText="1"/>
      <protection/>
    </xf>
    <xf numFmtId="0" fontId="15" fillId="0" borderId="8" xfId="0" applyNumberFormat="1" applyFont="1" applyFill="1" applyBorder="1" applyAlignment="1">
      <alignment horizontal="center" vertical="center"/>
    </xf>
    <xf numFmtId="0" fontId="15" fillId="0" borderId="8" xfId="55" applyNumberFormat="1" applyFont="1" applyBorder="1" applyAlignment="1">
      <alignment horizontal="center" vertical="center" wrapText="1"/>
      <protection/>
    </xf>
    <xf numFmtId="0" fontId="15" fillId="0" borderId="16" xfId="55" applyFont="1" applyFill="1" applyBorder="1">
      <alignment horizontal="center" vertical="center" wrapText="1"/>
      <protection/>
    </xf>
    <xf numFmtId="49" fontId="0" fillId="0" borderId="0" xfId="0" applyBorder="1" applyAlignment="1">
      <alignment vertical="top" wrapText="1"/>
    </xf>
    <xf numFmtId="49" fontId="31" fillId="0" borderId="8" xfId="0" applyFont="1" applyBorder="1" applyAlignment="1">
      <alignment vertical="center" wrapText="1"/>
    </xf>
    <xf numFmtId="49" fontId="32" fillId="0" borderId="8" xfId="0" applyFont="1" applyBorder="1" applyAlignment="1">
      <alignment horizontal="center" vertical="center" wrapText="1"/>
    </xf>
    <xf numFmtId="49" fontId="34" fillId="0" borderId="8" xfId="0" applyFont="1" applyFill="1" applyBorder="1" applyAlignment="1">
      <alignment horizontal="center" vertical="center" wrapText="1"/>
    </xf>
    <xf numFmtId="4" fontId="0" fillId="0" borderId="8" xfId="57" applyFill="1" applyBorder="1" applyAlignment="1">
      <alignment horizontal="center"/>
      <protection/>
    </xf>
    <xf numFmtId="49" fontId="15" fillId="0" borderId="8" xfId="0" applyFont="1" applyFill="1" applyBorder="1" applyAlignment="1">
      <alignment vertical="center" wrapText="1"/>
    </xf>
    <xf numFmtId="49" fontId="15" fillId="0" borderId="8" xfId="0" applyFont="1" applyFill="1" applyBorder="1" applyAlignment="1">
      <alignment horizontal="center" vertical="center" wrapText="1"/>
    </xf>
    <xf numFmtId="49" fontId="32" fillId="0" borderId="8" xfId="0" applyFont="1" applyFill="1" applyBorder="1" applyAlignment="1">
      <alignment horizontal="center" vertical="center" wrapText="1"/>
    </xf>
    <xf numFmtId="49" fontId="31" fillId="0" borderId="8" xfId="0" applyFont="1" applyBorder="1" applyAlignment="1">
      <alignment horizontal="center" vertical="center" wrapText="1"/>
    </xf>
    <xf numFmtId="49" fontId="35" fillId="0" borderId="8" xfId="0" applyFont="1" applyBorder="1" applyAlignment="1">
      <alignment vertical="center" wrapText="1"/>
    </xf>
    <xf numFmtId="2" fontId="35" fillId="41" borderId="8" xfId="0" applyNumberFormat="1" applyFont="1" applyFill="1" applyBorder="1" applyAlignment="1">
      <alignment horizontal="center" vertical="center" wrapText="1"/>
    </xf>
    <xf numFmtId="4" fontId="33" fillId="41" borderId="8" xfId="57" applyFont="1" applyFill="1" applyBorder="1" applyAlignment="1">
      <alignment horizontal="center" vertical="center"/>
      <protection/>
    </xf>
    <xf numFmtId="49" fontId="32" fillId="0" borderId="8" xfId="0" applyFont="1" applyBorder="1" applyAlignment="1">
      <alignment horizontal="left" vertical="center" wrapText="1"/>
    </xf>
    <xf numFmtId="49" fontId="32" fillId="0" borderId="8" xfId="0" applyFont="1" applyBorder="1" applyAlignment="1">
      <alignment vertical="center" wrapText="1"/>
    </xf>
    <xf numFmtId="2" fontId="32" fillId="0" borderId="8" xfId="0" applyNumberFormat="1" applyFont="1" applyFill="1" applyBorder="1" applyAlignment="1">
      <alignment horizontal="center" vertical="center" wrapText="1"/>
    </xf>
    <xf numFmtId="4" fontId="32" fillId="0" borderId="8" xfId="57" applyFont="1" applyFill="1" applyBorder="1" applyAlignment="1">
      <alignment horizontal="center"/>
      <protection/>
    </xf>
    <xf numFmtId="49" fontId="0" fillId="0" borderId="8" xfId="0" applyFont="1" applyBorder="1" applyAlignment="1">
      <alignment horizontal="left" vertical="center" wrapText="1"/>
    </xf>
    <xf numFmtId="2" fontId="0" fillId="31" borderId="8" xfId="0" applyNumberFormat="1" applyFont="1" applyFill="1" applyBorder="1" applyAlignment="1">
      <alignment horizontal="center" vertical="center" wrapText="1"/>
    </xf>
    <xf numFmtId="49" fontId="32" fillId="0" borderId="8" xfId="0" applyFont="1" applyFill="1" applyBorder="1" applyAlignment="1">
      <alignment horizontal="left" vertical="center" wrapText="1"/>
    </xf>
    <xf numFmtId="49" fontId="31" fillId="0" borderId="8" xfId="0" applyFont="1" applyFill="1" applyBorder="1" applyAlignment="1">
      <alignment horizontal="left" vertical="center" wrapText="1"/>
    </xf>
    <xf numFmtId="49" fontId="31" fillId="0" borderId="8" xfId="0" applyFont="1" applyFill="1" applyBorder="1" applyAlignment="1">
      <alignment vertical="center" wrapText="1"/>
    </xf>
    <xf numFmtId="49" fontId="0" fillId="0" borderId="8" xfId="0" applyFont="1" applyFill="1" applyBorder="1" applyAlignment="1">
      <alignment horizontal="left" vertical="center" wrapText="1"/>
    </xf>
    <xf numFmtId="49" fontId="15" fillId="0" borderId="18" xfId="0" applyFont="1" applyBorder="1" applyAlignment="1">
      <alignment horizontal="center" vertical="center" wrapText="1"/>
    </xf>
    <xf numFmtId="49" fontId="31" fillId="0" borderId="18" xfId="0" applyFont="1" applyBorder="1" applyAlignment="1">
      <alignment vertical="center" wrapText="1"/>
    </xf>
    <xf numFmtId="49" fontId="32" fillId="0" borderId="16" xfId="0" applyFont="1" applyBorder="1" applyAlignment="1">
      <alignment horizontal="center" vertical="center" wrapText="1"/>
    </xf>
    <xf numFmtId="49" fontId="15" fillId="0" borderId="14" xfId="0" applyFont="1" applyFill="1" applyBorder="1" applyAlignment="1">
      <alignment horizontal="left" vertical="center" wrapText="1"/>
    </xf>
    <xf numFmtId="49" fontId="31" fillId="0" borderId="16" xfId="0" applyFont="1" applyBorder="1" applyAlignment="1">
      <alignment horizontal="center" vertical="center" wrapText="1"/>
    </xf>
    <xf numFmtId="49" fontId="0" fillId="0" borderId="14" xfId="0" applyFont="1" applyFill="1" applyBorder="1" applyAlignment="1">
      <alignment horizontal="left" vertical="center" wrapText="1"/>
    </xf>
    <xf numFmtId="4" fontId="0" fillId="0" borderId="16" xfId="80" applyFill="1" applyBorder="1" applyAlignment="1">
      <alignment horizontal="center"/>
      <protection/>
    </xf>
    <xf numFmtId="49" fontId="0" fillId="0" borderId="15" xfId="0" applyFont="1" applyFill="1" applyBorder="1" applyAlignment="1">
      <alignment horizontal="left" vertical="center" wrapText="1"/>
    </xf>
    <xf numFmtId="49" fontId="0" fillId="0" borderId="20" xfId="0" applyFont="1" applyFill="1" applyBorder="1" applyAlignment="1">
      <alignment horizontal="left" vertical="center" wrapText="1"/>
    </xf>
    <xf numFmtId="49" fontId="31" fillId="0" borderId="20" xfId="0" applyFont="1" applyFill="1" applyBorder="1" applyAlignment="1">
      <alignment horizontal="left" vertical="center" wrapText="1"/>
    </xf>
    <xf numFmtId="49" fontId="31" fillId="0" borderId="20" xfId="0" applyFont="1" applyFill="1" applyBorder="1" applyAlignment="1">
      <alignment vertical="center" wrapText="1"/>
    </xf>
    <xf numFmtId="49" fontId="32" fillId="0" borderId="20" xfId="0" applyFont="1" applyBorder="1" applyAlignment="1">
      <alignment vertical="center" wrapText="1"/>
    </xf>
    <xf numFmtId="2" fontId="31" fillId="31" borderId="20" xfId="0" applyNumberFormat="1" applyFont="1" applyFill="1" applyBorder="1" applyAlignment="1">
      <alignment horizontal="center" vertical="center" wrapText="1"/>
    </xf>
    <xf numFmtId="2" fontId="0" fillId="31" borderId="20" xfId="0" applyNumberFormat="1" applyFont="1" applyFill="1" applyBorder="1" applyAlignment="1">
      <alignment horizontal="center" vertical="center" wrapText="1"/>
    </xf>
    <xf numFmtId="4" fontId="0" fillId="31" borderId="21" xfId="80" applyBorder="1" applyAlignment="1">
      <alignment horizontal="center"/>
      <protection/>
    </xf>
    <xf numFmtId="49" fontId="0" fillId="0" borderId="8" xfId="0" applyNumberFormat="1" applyBorder="1" applyAlignment="1">
      <alignment vertical="top" wrapText="1"/>
    </xf>
    <xf numFmtId="49" fontId="0" fillId="0" borderId="8" xfId="0" applyBorder="1" applyAlignment="1">
      <alignment horizontal="centerContinuous" vertical="top"/>
    </xf>
    <xf numFmtId="0" fontId="15" fillId="0" borderId="16" xfId="55" applyFont="1" applyBorder="1">
      <alignment horizontal="center" vertical="center" wrapText="1"/>
      <protection/>
    </xf>
    <xf numFmtId="49" fontId="0" fillId="0" borderId="20" xfId="0" applyBorder="1" applyAlignment="1">
      <alignment horizontal="centerContinuous" vertical="top"/>
    </xf>
    <xf numFmtId="0" fontId="15" fillId="0" borderId="8" xfId="55" applyFont="1" applyBorder="1" applyAlignment="1">
      <alignment vertical="center" wrapText="1"/>
      <protection/>
    </xf>
    <xf numFmtId="0" fontId="15" fillId="0" borderId="20" xfId="55" applyFont="1" applyBorder="1" applyAlignment="1">
      <alignment vertical="center" wrapText="1"/>
      <protection/>
    </xf>
    <xf numFmtId="0" fontId="15" fillId="0" borderId="20" xfId="55" applyBorder="1" applyAlignment="1">
      <alignment vertical="center" wrapText="1"/>
      <protection/>
    </xf>
    <xf numFmtId="49" fontId="0" fillId="0" borderId="8" xfId="0" applyNumberFormat="1" applyBorder="1" applyAlignment="1">
      <alignment vertical="top"/>
    </xf>
    <xf numFmtId="0" fontId="0" fillId="0" borderId="8" xfId="0" applyNumberFormat="1" applyBorder="1" applyAlignment="1">
      <alignment vertical="top"/>
    </xf>
    <xf numFmtId="49" fontId="0" fillId="0" borderId="8" xfId="0" applyBorder="1" applyAlignment="1">
      <alignment vertical="top"/>
    </xf>
    <xf numFmtId="49" fontId="0" fillId="0" borderId="14" xfId="0" applyBorder="1" applyAlignment="1">
      <alignment vertical="top"/>
    </xf>
    <xf numFmtId="49" fontId="0" fillId="0" borderId="15" xfId="0" applyBorder="1" applyAlignment="1">
      <alignment vertical="top"/>
    </xf>
    <xf numFmtId="49" fontId="0" fillId="0" borderId="20" xfId="0" applyBorder="1" applyAlignment="1">
      <alignment vertical="top"/>
    </xf>
    <xf numFmtId="49" fontId="0" fillId="0" borderId="20" xfId="0" applyNumberFormat="1" applyBorder="1" applyAlignment="1">
      <alignment vertical="top"/>
    </xf>
    <xf numFmtId="49" fontId="0" fillId="0" borderId="20" xfId="0" applyNumberFormat="1" applyBorder="1" applyAlignment="1">
      <alignment vertical="top"/>
    </xf>
    <xf numFmtId="4" fontId="0" fillId="31" borderId="20" xfId="81" applyBorder="1">
      <alignment horizontal="right"/>
      <protection/>
    </xf>
    <xf numFmtId="4" fontId="0" fillId="31" borderId="21" xfId="81" applyBorder="1">
      <alignment horizontal="right"/>
      <protection/>
    </xf>
    <xf numFmtId="0" fontId="0" fillId="0" borderId="20" xfId="0" applyNumberFormat="1" applyBorder="1" applyAlignment="1">
      <alignment vertical="top" wrapText="1"/>
    </xf>
    <xf numFmtId="0" fontId="0" fillId="0" borderId="13" xfId="0" applyNumberFormat="1" applyFill="1" applyBorder="1" applyAlignment="1" applyProtection="1">
      <alignment vertical="top"/>
      <protection/>
    </xf>
    <xf numFmtId="0" fontId="0" fillId="0" borderId="18" xfId="0" applyNumberFormat="1" applyFill="1" applyBorder="1" applyAlignment="1" applyProtection="1">
      <alignment vertical="top"/>
      <protection/>
    </xf>
    <xf numFmtId="0" fontId="15" fillId="0" borderId="18" xfId="0" applyNumberFormat="1" applyFont="1" applyFill="1" applyBorder="1" applyAlignment="1" applyProtection="1">
      <alignment horizontal="center" vertical="top"/>
      <protection/>
    </xf>
    <xf numFmtId="0" fontId="15" fillId="0" borderId="19" xfId="0" applyNumberFormat="1" applyFont="1" applyFill="1" applyBorder="1" applyAlignment="1" applyProtection="1">
      <alignment horizontal="center" vertical="top"/>
      <protection/>
    </xf>
    <xf numFmtId="0" fontId="0" fillId="0" borderId="14" xfId="0" applyNumberFormat="1" applyFill="1" applyBorder="1" applyAlignment="1" applyProtection="1">
      <alignment vertical="top"/>
      <protection/>
    </xf>
    <xf numFmtId="0" fontId="15" fillId="0" borderId="16" xfId="0" applyNumberFormat="1" applyFont="1" applyFill="1" applyBorder="1" applyAlignment="1" applyProtection="1">
      <alignment horizontal="center" vertical="top"/>
      <protection/>
    </xf>
    <xf numFmtId="0" fontId="24" fillId="0" borderId="14" xfId="0" applyNumberFormat="1" applyFont="1" applyFill="1" applyBorder="1" applyAlignment="1" applyProtection="1">
      <alignment vertical="top"/>
      <protection/>
    </xf>
    <xf numFmtId="185" fontId="25" fillId="0" borderId="16" xfId="78" applyNumberFormat="1" applyFont="1" applyFill="1" applyBorder="1" applyAlignment="1" applyProtection="1">
      <alignment vertical="top"/>
      <protection/>
    </xf>
    <xf numFmtId="0" fontId="26" fillId="0" borderId="14" xfId="0" applyNumberFormat="1" applyFont="1" applyFill="1" applyBorder="1" applyAlignment="1" applyProtection="1">
      <alignment vertical="top"/>
      <protection/>
    </xf>
    <xf numFmtId="0" fontId="0" fillId="0" borderId="14" xfId="0" applyNumberFormat="1" applyFont="1" applyFill="1" applyBorder="1" applyAlignment="1" applyProtection="1">
      <alignment vertical="top"/>
      <protection/>
    </xf>
    <xf numFmtId="0" fontId="28" fillId="0" borderId="25" xfId="0" applyNumberFormat="1" applyFont="1" applyFill="1" applyBorder="1" applyAlignment="1" applyProtection="1">
      <alignment vertical="top"/>
      <protection/>
    </xf>
    <xf numFmtId="0" fontId="29" fillId="0" borderId="14" xfId="0" applyNumberFormat="1" applyFont="1" applyFill="1" applyBorder="1" applyAlignment="1" applyProtection="1">
      <alignment vertical="top" wrapText="1"/>
      <protection/>
    </xf>
    <xf numFmtId="0" fontId="30" fillId="0" borderId="14" xfId="0" applyNumberFormat="1" applyFont="1" applyFill="1" applyBorder="1" applyAlignment="1" applyProtection="1">
      <alignment vertical="top" wrapText="1"/>
      <protection/>
    </xf>
    <xf numFmtId="0" fontId="15" fillId="0" borderId="20" xfId="0" applyNumberFormat="1" applyFont="1" applyFill="1" applyBorder="1" applyAlignment="1" applyProtection="1">
      <alignment vertical="top"/>
      <protection/>
    </xf>
    <xf numFmtId="0" fontId="15" fillId="42" borderId="8" xfId="55" applyFill="1" applyBorder="1" applyAlignment="1">
      <alignment vertical="center" wrapText="1"/>
      <protection/>
    </xf>
    <xf numFmtId="49" fontId="0" fillId="31" borderId="20" xfId="0" applyFont="1" applyFill="1" applyBorder="1" applyAlignment="1">
      <alignment vertical="top"/>
    </xf>
    <xf numFmtId="49" fontId="0" fillId="31" borderId="21" xfId="0" applyFont="1" applyFill="1" applyBorder="1" applyAlignment="1">
      <alignment vertical="top"/>
    </xf>
    <xf numFmtId="0" fontId="15" fillId="0" borderId="23" xfId="55" applyFont="1" applyFill="1" applyBorder="1">
      <alignment horizontal="center" vertical="center" wrapText="1"/>
      <protection/>
    </xf>
    <xf numFmtId="0" fontId="15" fillId="0" borderId="23" xfId="55" applyFont="1" applyBorder="1">
      <alignment horizontal="center" vertical="center" wrapText="1"/>
      <protection/>
    </xf>
    <xf numFmtId="10" fontId="0" fillId="31" borderId="23" xfId="0" applyNumberFormat="1" applyFont="1" applyFill="1" applyBorder="1" applyAlignment="1">
      <alignment vertical="top"/>
    </xf>
    <xf numFmtId="10" fontId="0" fillId="31" borderId="35" xfId="0" applyNumberFormat="1" applyFont="1" applyFill="1" applyBorder="1" applyAlignment="1">
      <alignment vertical="top"/>
    </xf>
    <xf numFmtId="0" fontId="15" fillId="0" borderId="14" xfId="55" applyFont="1" applyBorder="1">
      <alignment horizontal="center" vertical="center" wrapText="1"/>
      <protection/>
    </xf>
    <xf numFmtId="0" fontId="15" fillId="42" borderId="17" xfId="55" applyFill="1" applyBorder="1" applyAlignment="1">
      <alignment horizontal="center" vertical="center" wrapText="1"/>
      <protection/>
    </xf>
    <xf numFmtId="0" fontId="15" fillId="0" borderId="14" xfId="55" applyFont="1" applyFill="1" applyBorder="1">
      <alignment horizontal="center" vertical="center" wrapText="1"/>
      <protection/>
    </xf>
    <xf numFmtId="49" fontId="0" fillId="0" borderId="0" xfId="0" applyAlignment="1">
      <alignment horizontal="centerContinuous"/>
    </xf>
    <xf numFmtId="185" fontId="27" fillId="0" borderId="16" xfId="78" applyNumberFormat="1" applyFont="1" applyFill="1" applyBorder="1" applyAlignment="1" applyProtection="1">
      <alignment vertical="top"/>
      <protection/>
    </xf>
    <xf numFmtId="0" fontId="15" fillId="0" borderId="26" xfId="0" applyNumberFormat="1" applyFont="1" applyFill="1" applyBorder="1" applyAlignment="1" applyProtection="1">
      <alignment vertical="top"/>
      <protection/>
    </xf>
    <xf numFmtId="0" fontId="25" fillId="0" borderId="25" xfId="0" applyNumberFormat="1" applyFont="1" applyFill="1" applyBorder="1" applyAlignment="1" applyProtection="1">
      <alignment vertical="top" wrapText="1"/>
      <protection/>
    </xf>
    <xf numFmtId="0" fontId="25" fillId="0" borderId="15" xfId="0" applyNumberFormat="1" applyFont="1" applyFill="1" applyBorder="1" applyAlignment="1" applyProtection="1">
      <alignment vertical="top" wrapText="1"/>
      <protection/>
    </xf>
    <xf numFmtId="4" fontId="18" fillId="0" borderId="16" xfId="84" applyFont="1" applyFill="1" applyBorder="1">
      <alignment horizontal="right"/>
      <protection/>
    </xf>
    <xf numFmtId="4" fontId="18" fillId="0" borderId="16" xfId="57" applyFont="1" applyFill="1" applyBorder="1">
      <alignment horizontal="right"/>
      <protection/>
    </xf>
    <xf numFmtId="4" fontId="18" fillId="31" borderId="20" xfId="81" applyFont="1" applyFill="1" applyBorder="1">
      <alignment horizontal="right"/>
      <protection/>
    </xf>
    <xf numFmtId="4" fontId="18" fillId="31" borderId="21" xfId="81" applyFont="1" applyFill="1" applyBorder="1">
      <alignment horizontal="right"/>
      <protection/>
    </xf>
    <xf numFmtId="49" fontId="18" fillId="0" borderId="34" xfId="0" applyFont="1" applyBorder="1" applyAlignment="1">
      <alignment vertical="top"/>
    </xf>
    <xf numFmtId="4" fontId="18" fillId="31" borderId="17" xfId="81" applyFont="1" applyFill="1" applyBorder="1">
      <alignment horizontal="right"/>
      <protection/>
    </xf>
    <xf numFmtId="4" fontId="22" fillId="31" borderId="17" xfId="81" applyFont="1" applyFill="1" applyBorder="1">
      <alignment horizontal="right"/>
      <protection/>
    </xf>
    <xf numFmtId="4" fontId="18" fillId="40" borderId="17" xfId="81" applyFont="1" applyFill="1" applyBorder="1">
      <alignment horizontal="right"/>
      <protection/>
    </xf>
    <xf numFmtId="4" fontId="18" fillId="31" borderId="17" xfId="84" applyFont="1" applyFill="1" applyBorder="1">
      <alignment horizontal="right"/>
      <protection/>
    </xf>
    <xf numFmtId="4" fontId="18" fillId="31" borderId="17" xfId="80" applyFont="1" applyFill="1" applyBorder="1">
      <alignment horizontal="right"/>
      <protection/>
    </xf>
    <xf numFmtId="49" fontId="18" fillId="0" borderId="17" xfId="0" applyFont="1" applyFill="1" applyBorder="1" applyAlignment="1">
      <alignment vertical="top"/>
    </xf>
    <xf numFmtId="4" fontId="18" fillId="0" borderId="17" xfId="84" applyFont="1" applyFill="1" applyBorder="1">
      <alignment horizontal="right"/>
      <protection/>
    </xf>
    <xf numFmtId="49" fontId="18" fillId="0" borderId="17" xfId="0" applyFont="1" applyFill="1" applyBorder="1" applyAlignment="1">
      <alignment vertical="top"/>
    </xf>
    <xf numFmtId="4" fontId="18" fillId="31" borderId="17" xfId="57" applyFont="1" applyFill="1" applyBorder="1">
      <alignment horizontal="right"/>
      <protection/>
    </xf>
    <xf numFmtId="4" fontId="18" fillId="0" borderId="17" xfId="57" applyFont="1" applyFill="1" applyBorder="1">
      <alignment horizontal="right"/>
      <protection/>
    </xf>
    <xf numFmtId="4" fontId="18" fillId="40" borderId="17" xfId="57" applyFont="1" applyFill="1" applyBorder="1">
      <alignment horizontal="right"/>
      <protection/>
    </xf>
    <xf numFmtId="4" fontId="18" fillId="40" borderId="22" xfId="57" applyFont="1" applyFill="1" applyBorder="1">
      <alignment horizontal="right"/>
      <protection/>
    </xf>
    <xf numFmtId="49" fontId="18" fillId="0" borderId="13" xfId="0" applyFont="1" applyBorder="1" applyAlignment="1">
      <alignment vertical="top"/>
    </xf>
    <xf numFmtId="4" fontId="18" fillId="31" borderId="14" xfId="81" applyFont="1" applyFill="1" applyBorder="1">
      <alignment horizontal="right"/>
      <protection/>
    </xf>
    <xf numFmtId="4" fontId="18" fillId="0" borderId="14" xfId="84" applyFont="1" applyFill="1" applyBorder="1">
      <alignment horizontal="right"/>
      <protection/>
    </xf>
    <xf numFmtId="49" fontId="18" fillId="0" borderId="14" xfId="0" applyFont="1" applyFill="1" applyBorder="1" applyAlignment="1">
      <alignment vertical="top"/>
    </xf>
    <xf numFmtId="4" fontId="18" fillId="0" borderId="14" xfId="57" applyFont="1" applyFill="1" applyBorder="1">
      <alignment horizontal="right"/>
      <protection/>
    </xf>
    <xf numFmtId="4" fontId="18" fillId="31" borderId="15" xfId="81" applyFont="1" applyFill="1" applyBorder="1">
      <alignment horizontal="right"/>
      <protection/>
    </xf>
    <xf numFmtId="0" fontId="31" fillId="0" borderId="0" xfId="66" applyFont="1">
      <alignment/>
      <protection/>
    </xf>
    <xf numFmtId="0" fontId="36" fillId="0" borderId="0" xfId="66" applyFont="1">
      <alignment/>
      <protection/>
    </xf>
    <xf numFmtId="0" fontId="31" fillId="0" borderId="0" xfId="66" applyFont="1" applyAlignment="1">
      <alignment wrapText="1"/>
      <protection/>
    </xf>
    <xf numFmtId="0" fontId="36" fillId="0" borderId="0" xfId="66" applyFont="1" applyAlignment="1">
      <alignment wrapText="1"/>
      <protection/>
    </xf>
    <xf numFmtId="0" fontId="34" fillId="0" borderId="0" xfId="66" applyFont="1" applyAlignment="1">
      <alignment horizontal="centerContinuous"/>
      <protection/>
    </xf>
    <xf numFmtId="0" fontId="31" fillId="0" borderId="0" xfId="66" applyFont="1" applyAlignment="1">
      <alignment horizontal="centerContinuous" wrapText="1"/>
      <protection/>
    </xf>
    <xf numFmtId="0" fontId="36" fillId="0" borderId="0" xfId="66" applyFont="1" applyAlignment="1">
      <alignment horizontal="left"/>
      <protection/>
    </xf>
    <xf numFmtId="0" fontId="38" fillId="0" borderId="0" xfId="66" applyFont="1" applyAlignment="1">
      <alignment/>
      <protection/>
    </xf>
    <xf numFmtId="0" fontId="31" fillId="0" borderId="0" xfId="66" applyFont="1" applyAlignment="1">
      <alignment horizontal="left" wrapText="1"/>
      <protection/>
    </xf>
    <xf numFmtId="0" fontId="0" fillId="31" borderId="7" xfId="66" applyFont="1" applyFill="1" applyBorder="1" applyAlignment="1">
      <alignment horizontal="center" vertical="center" wrapText="1"/>
      <protection/>
    </xf>
    <xf numFmtId="0" fontId="15" fillId="31" borderId="36" xfId="66" applyNumberFormat="1" applyFont="1" applyFill="1" applyBorder="1" applyAlignment="1">
      <alignment vertical="top" wrapText="1"/>
      <protection/>
    </xf>
    <xf numFmtId="0" fontId="0" fillId="31" borderId="8" xfId="66" applyFont="1" applyFill="1" applyBorder="1" applyAlignment="1">
      <alignment horizontal="center" vertical="center" wrapText="1"/>
      <protection/>
    </xf>
    <xf numFmtId="0" fontId="32" fillId="0" borderId="0" xfId="66" applyFont="1" applyAlignment="1">
      <alignment horizontal="centerContinuous" wrapText="1"/>
      <protection/>
    </xf>
    <xf numFmtId="0" fontId="34" fillId="0" borderId="0" xfId="66" applyFont="1" applyAlignment="1">
      <alignment horizontal="centerContinuous" wrapText="1"/>
      <protection/>
    </xf>
    <xf numFmtId="0" fontId="22" fillId="0" borderId="20" xfId="55" applyFont="1" applyBorder="1">
      <alignment horizontal="center" vertical="center" wrapText="1"/>
      <protection/>
    </xf>
    <xf numFmtId="49" fontId="34" fillId="0" borderId="0" xfId="0" applyFont="1" applyFill="1" applyBorder="1" applyAlignment="1">
      <alignment vertical="center"/>
    </xf>
    <xf numFmtId="0" fontId="39" fillId="0" borderId="30" xfId="66" applyFont="1" applyBorder="1" applyAlignment="1">
      <alignment horizontal="center" vertical="center" wrapText="1"/>
      <protection/>
    </xf>
    <xf numFmtId="0" fontId="40" fillId="0" borderId="0" xfId="66" applyFont="1" applyAlignment="1">
      <alignment wrapText="1"/>
      <protection/>
    </xf>
    <xf numFmtId="0" fontId="41" fillId="0" borderId="0" xfId="66" applyFont="1">
      <alignment/>
      <protection/>
    </xf>
    <xf numFmtId="4" fontId="0" fillId="29" borderId="14" xfId="57" applyBorder="1" applyAlignment="1" applyProtection="1">
      <alignment horizontal="right" vertical="center"/>
      <protection locked="0"/>
    </xf>
    <xf numFmtId="4" fontId="0" fillId="29" borderId="8" xfId="57" applyBorder="1" applyAlignment="1" applyProtection="1">
      <alignment horizontal="right" vertical="center"/>
      <protection locked="0"/>
    </xf>
    <xf numFmtId="4" fontId="0" fillId="29" borderId="16" xfId="57" applyBorder="1" applyAlignment="1" applyProtection="1">
      <alignment horizontal="right" vertical="center"/>
      <protection locked="0"/>
    </xf>
    <xf numFmtId="4" fontId="0" fillId="29" borderId="8" xfId="57" applyFont="1" applyBorder="1" applyAlignment="1" applyProtection="1">
      <alignment horizontal="right" vertical="center"/>
      <protection locked="0"/>
    </xf>
    <xf numFmtId="4" fontId="0" fillId="29" borderId="14" xfId="57" applyFont="1" applyBorder="1" applyAlignment="1" applyProtection="1">
      <alignment horizontal="right" vertical="center"/>
      <protection locked="0"/>
    </xf>
    <xf numFmtId="4" fontId="0" fillId="29" borderId="8" xfId="57" applyBorder="1" applyProtection="1">
      <alignment horizontal="right"/>
      <protection locked="0"/>
    </xf>
    <xf numFmtId="4" fontId="0" fillId="29" borderId="16" xfId="57" applyBorder="1" applyProtection="1">
      <alignment horizontal="right"/>
      <protection locked="0"/>
    </xf>
    <xf numFmtId="4" fontId="0" fillId="29" borderId="8" xfId="80" applyFont="1" applyFill="1" applyBorder="1" applyProtection="1">
      <alignment horizontal="right"/>
      <protection locked="0"/>
    </xf>
    <xf numFmtId="4" fontId="0" fillId="29" borderId="8" xfId="81" applyFont="1" applyFill="1" applyBorder="1" applyProtection="1">
      <alignment horizontal="right"/>
      <protection locked="0"/>
    </xf>
    <xf numFmtId="4" fontId="0" fillId="29" borderId="17" xfId="81" applyFont="1" applyFill="1" applyBorder="1" applyProtection="1">
      <alignment horizontal="right"/>
      <protection locked="0"/>
    </xf>
    <xf numFmtId="4" fontId="0" fillId="29" borderId="8" xfId="81" applyFont="1" applyFill="1" applyBorder="1" applyProtection="1">
      <alignment horizontal="right"/>
      <protection locked="0"/>
    </xf>
    <xf numFmtId="4" fontId="0" fillId="29" borderId="17" xfId="81" applyFont="1" applyFill="1" applyBorder="1" applyProtection="1">
      <alignment horizontal="right"/>
      <protection locked="0"/>
    </xf>
    <xf numFmtId="4" fontId="0" fillId="29" borderId="17" xfId="80" applyFont="1" applyFill="1" applyBorder="1" applyProtection="1">
      <alignment horizontal="right"/>
      <protection locked="0"/>
    </xf>
    <xf numFmtId="4" fontId="0" fillId="29" borderId="8" xfId="57" applyFont="1" applyFill="1" applyBorder="1" applyProtection="1">
      <alignment horizontal="right"/>
      <protection locked="0"/>
    </xf>
    <xf numFmtId="4" fontId="0" fillId="29" borderId="17" xfId="57" applyFont="1" applyFill="1" applyBorder="1" applyProtection="1">
      <alignment horizontal="right"/>
      <protection locked="0"/>
    </xf>
    <xf numFmtId="1" fontId="18" fillId="29" borderId="8" xfId="71" applyNumberFormat="1" applyFont="1" applyFill="1" applyBorder="1" applyAlignment="1" applyProtection="1">
      <alignment horizontal="right"/>
      <protection locked="0"/>
    </xf>
    <xf numFmtId="1" fontId="18" fillId="29" borderId="17" xfId="71" applyNumberFormat="1" applyFont="1" applyFill="1" applyBorder="1" applyAlignment="1" applyProtection="1">
      <alignment horizontal="right"/>
      <protection locked="0"/>
    </xf>
    <xf numFmtId="4" fontId="0" fillId="29" borderId="20" xfId="57" applyFont="1" applyFill="1" applyBorder="1" applyProtection="1">
      <alignment horizontal="right"/>
      <protection locked="0"/>
    </xf>
    <xf numFmtId="185" fontId="0" fillId="29" borderId="8" xfId="78" applyNumberFormat="1" applyFont="1" applyFill="1" applyBorder="1" applyAlignment="1" applyProtection="1">
      <alignment vertical="top"/>
      <protection locked="0"/>
    </xf>
    <xf numFmtId="185" fontId="0" fillId="29" borderId="16" xfId="78" applyNumberFormat="1" applyFont="1" applyFill="1" applyBorder="1" applyAlignment="1" applyProtection="1">
      <alignment vertical="top"/>
      <protection locked="0"/>
    </xf>
    <xf numFmtId="0" fontId="15" fillId="29" borderId="27" xfId="0" applyNumberFormat="1" applyFont="1" applyFill="1" applyBorder="1" applyAlignment="1" applyProtection="1">
      <alignment vertical="top"/>
      <protection locked="0"/>
    </xf>
    <xf numFmtId="0" fontId="15" fillId="29" borderId="8" xfId="0" applyNumberFormat="1" applyFont="1" applyFill="1" applyBorder="1" applyAlignment="1" applyProtection="1">
      <alignment vertical="top"/>
      <protection locked="0"/>
    </xf>
    <xf numFmtId="0" fontId="15" fillId="29" borderId="16" xfId="0" applyNumberFormat="1" applyFont="1" applyFill="1" applyBorder="1" applyAlignment="1" applyProtection="1">
      <alignment vertical="top"/>
      <protection locked="0"/>
    </xf>
    <xf numFmtId="43" fontId="15" fillId="29" borderId="8" xfId="78" applyNumberFormat="1" applyFont="1" applyFill="1" applyBorder="1" applyAlignment="1" applyProtection="1">
      <alignment vertical="top"/>
      <protection locked="0"/>
    </xf>
    <xf numFmtId="43" fontId="0" fillId="29" borderId="8" xfId="78" applyFont="1" applyFill="1" applyBorder="1" applyAlignment="1" applyProtection="1">
      <alignment vertical="top"/>
      <protection locked="0"/>
    </xf>
    <xf numFmtId="43" fontId="0" fillId="29" borderId="16" xfId="78" applyFont="1" applyFill="1" applyBorder="1" applyAlignment="1" applyProtection="1">
      <alignment vertical="top"/>
      <protection locked="0"/>
    </xf>
    <xf numFmtId="43" fontId="15" fillId="29" borderId="26" xfId="78" applyNumberFormat="1" applyFont="1" applyFill="1" applyBorder="1" applyAlignment="1" applyProtection="1">
      <alignment vertical="top"/>
      <protection locked="0"/>
    </xf>
    <xf numFmtId="43" fontId="0" fillId="29" borderId="26" xfId="78" applyFont="1" applyFill="1" applyBorder="1" applyAlignment="1" applyProtection="1">
      <alignment vertical="top"/>
      <protection locked="0"/>
    </xf>
    <xf numFmtId="43" fontId="0" fillId="29" borderId="27" xfId="78" applyFont="1" applyFill="1" applyBorder="1" applyAlignment="1" applyProtection="1">
      <alignment vertical="top"/>
      <protection locked="0"/>
    </xf>
    <xf numFmtId="43" fontId="15" fillId="29" borderId="20" xfId="78" applyNumberFormat="1" applyFont="1" applyFill="1" applyBorder="1" applyAlignment="1" applyProtection="1">
      <alignment vertical="top"/>
      <protection locked="0"/>
    </xf>
    <xf numFmtId="43" fontId="0" fillId="29" borderId="20" xfId="78" applyFont="1" applyFill="1" applyBorder="1" applyAlignment="1" applyProtection="1">
      <alignment vertical="top"/>
      <protection locked="0"/>
    </xf>
    <xf numFmtId="43" fontId="0" fillId="29" borderId="21" xfId="78" applyFont="1" applyFill="1" applyBorder="1" applyAlignment="1" applyProtection="1">
      <alignment vertical="top"/>
      <protection locked="0"/>
    </xf>
    <xf numFmtId="49" fontId="0" fillId="29" borderId="8" xfId="0" applyFill="1" applyBorder="1" applyAlignment="1" applyProtection="1">
      <alignment vertical="top" wrapText="1"/>
      <protection locked="0"/>
    </xf>
    <xf numFmtId="4" fontId="15" fillId="29" borderId="8" xfId="57" applyFont="1" applyBorder="1" applyProtection="1">
      <alignment horizontal="right"/>
      <protection locked="0"/>
    </xf>
    <xf numFmtId="3" fontId="0" fillId="29" borderId="8" xfId="57" applyNumberFormat="1" applyBorder="1" applyProtection="1">
      <alignment horizontal="right"/>
      <protection locked="0"/>
    </xf>
    <xf numFmtId="4" fontId="0" fillId="29" borderId="20" xfId="57" applyBorder="1" applyProtection="1">
      <alignment horizontal="right"/>
      <protection locked="0"/>
    </xf>
    <xf numFmtId="4" fontId="0" fillId="29" borderId="14" xfId="57" applyBorder="1" applyProtection="1">
      <alignment horizontal="right"/>
      <protection locked="0"/>
    </xf>
    <xf numFmtId="4" fontId="0" fillId="29" borderId="8" xfId="0" applyNumberFormat="1" applyFill="1" applyBorder="1" applyAlignment="1" applyProtection="1">
      <alignment horizontal="right" vertical="center"/>
      <protection locked="0"/>
    </xf>
    <xf numFmtId="4" fontId="0" fillId="29" borderId="8" xfId="57" applyFill="1" applyBorder="1" applyProtection="1">
      <alignment horizontal="right"/>
      <protection locked="0"/>
    </xf>
    <xf numFmtId="4" fontId="0" fillId="29" borderId="8" xfId="57" applyNumberFormat="1" applyBorder="1" applyProtection="1">
      <alignment horizontal="right"/>
      <protection locked="0"/>
    </xf>
    <xf numFmtId="4" fontId="0" fillId="29" borderId="8" xfId="0" applyNumberFormat="1" applyFill="1" applyBorder="1" applyAlignment="1" applyProtection="1">
      <alignment vertical="top"/>
      <protection locked="0"/>
    </xf>
    <xf numFmtId="4" fontId="0" fillId="29" borderId="8" xfId="57" applyNumberFormat="1" applyFill="1" applyBorder="1" applyProtection="1">
      <alignment horizontal="right"/>
      <protection locked="0"/>
    </xf>
    <xf numFmtId="4" fontId="0" fillId="29" borderId="20" xfId="0" applyNumberFormat="1" applyFill="1" applyBorder="1" applyAlignment="1" applyProtection="1">
      <alignment vertical="top"/>
      <protection locked="0"/>
    </xf>
    <xf numFmtId="4" fontId="31" fillId="29" borderId="8" xfId="0" applyNumberFormat="1" applyFont="1" applyFill="1" applyBorder="1" applyAlignment="1" applyProtection="1">
      <alignment horizontal="center" vertical="center" wrapText="1"/>
      <protection locked="0"/>
    </xf>
    <xf numFmtId="4" fontId="31" fillId="29" borderId="8" xfId="57" applyNumberFormat="1" applyFont="1" applyBorder="1" applyAlignment="1" applyProtection="1">
      <alignment horizontal="center"/>
      <protection locked="0"/>
    </xf>
    <xf numFmtId="4" fontId="0" fillId="29" borderId="8" xfId="0" applyNumberFormat="1" applyFont="1" applyFill="1" applyBorder="1" applyAlignment="1" applyProtection="1">
      <alignment horizontal="center" vertical="center" wrapText="1"/>
      <protection locked="0"/>
    </xf>
    <xf numFmtId="4" fontId="0" fillId="29" borderId="8" xfId="57" applyNumberFormat="1" applyBorder="1" applyAlignment="1" applyProtection="1">
      <alignment horizontal="center"/>
      <protection locked="0"/>
    </xf>
    <xf numFmtId="4" fontId="32" fillId="29" borderId="8" xfId="0" applyNumberFormat="1" applyFont="1" applyFill="1" applyBorder="1" applyAlignment="1" applyProtection="1">
      <alignment horizontal="center" vertical="center" wrapText="1"/>
      <protection locked="0"/>
    </xf>
    <xf numFmtId="4" fontId="15" fillId="29" borderId="8" xfId="0" applyNumberFormat="1" applyFont="1" applyFill="1" applyBorder="1" applyAlignment="1" applyProtection="1">
      <alignment horizontal="center" vertical="center" wrapText="1"/>
      <protection locked="0"/>
    </xf>
    <xf numFmtId="4" fontId="15" fillId="29" borderId="20" xfId="0" applyNumberFormat="1" applyFont="1" applyFill="1" applyBorder="1" applyAlignment="1" applyProtection="1">
      <alignment horizontal="center" vertical="center" wrapText="1"/>
      <protection locked="0"/>
    </xf>
    <xf numFmtId="4" fontId="0" fillId="29" borderId="20" xfId="0" applyNumberFormat="1" applyFont="1" applyFill="1" applyBorder="1" applyAlignment="1" applyProtection="1">
      <alignment horizontal="center" vertical="center" wrapText="1"/>
      <protection locked="0"/>
    </xf>
    <xf numFmtId="4" fontId="0" fillId="29" borderId="20" xfId="57" applyNumberFormat="1" applyBorder="1" applyAlignment="1" applyProtection="1">
      <alignment horizontal="center"/>
      <protection locked="0"/>
    </xf>
    <xf numFmtId="49" fontId="0" fillId="29" borderId="26" xfId="66" applyNumberFormat="1" applyFont="1" applyFill="1" applyBorder="1" applyAlignment="1" applyProtection="1">
      <alignment wrapText="1"/>
      <protection locked="0"/>
    </xf>
    <xf numFmtId="0" fontId="0" fillId="31" borderId="8" xfId="66" applyFont="1" applyFill="1" applyBorder="1" applyAlignment="1" applyProtection="1">
      <alignment horizontal="center" vertical="center" wrapText="1"/>
      <protection/>
    </xf>
    <xf numFmtId="0" fontId="15" fillId="31" borderId="8" xfId="66" applyNumberFormat="1" applyFont="1" applyFill="1" applyBorder="1" applyAlignment="1" applyProtection="1">
      <alignment vertical="top" wrapText="1"/>
      <protection/>
    </xf>
    <xf numFmtId="0" fontId="15" fillId="40" borderId="8" xfId="66" applyNumberFormat="1" applyFont="1" applyFill="1" applyBorder="1" applyAlignment="1" applyProtection="1">
      <alignment vertical="top" wrapText="1"/>
      <protection/>
    </xf>
    <xf numFmtId="0" fontId="0" fillId="31" borderId="26" xfId="66" applyFont="1" applyFill="1" applyBorder="1" applyAlignment="1" applyProtection="1">
      <alignment horizontal="center" vertical="center" wrapText="1"/>
      <protection/>
    </xf>
    <xf numFmtId="0" fontId="15" fillId="29" borderId="26" xfId="66" applyNumberFormat="1" applyFont="1" applyFill="1" applyBorder="1" applyAlignment="1" applyProtection="1">
      <alignment vertical="top" wrapText="1"/>
      <protection locked="0"/>
    </xf>
    <xf numFmtId="0" fontId="0" fillId="29" borderId="26" xfId="66" applyFont="1" applyFill="1" applyBorder="1" applyAlignment="1" applyProtection="1">
      <alignment horizontal="center" vertical="center" wrapText="1"/>
      <protection locked="0"/>
    </xf>
    <xf numFmtId="49" fontId="0" fillId="29" borderId="8" xfId="66" applyNumberFormat="1" applyFont="1" applyFill="1" applyBorder="1" applyAlignment="1" applyProtection="1">
      <alignment wrapText="1"/>
      <protection locked="0"/>
    </xf>
    <xf numFmtId="0" fontId="15" fillId="29" borderId="8" xfId="66" applyNumberFormat="1" applyFont="1" applyFill="1" applyBorder="1" applyAlignment="1" applyProtection="1">
      <alignment vertical="top" wrapText="1"/>
      <protection locked="0"/>
    </xf>
    <xf numFmtId="0" fontId="0" fillId="29" borderId="8" xfId="66" applyFont="1" applyFill="1" applyBorder="1" applyAlignment="1" applyProtection="1">
      <alignment horizontal="center" vertical="center" wrapText="1"/>
      <protection locked="0"/>
    </xf>
    <xf numFmtId="49" fontId="0" fillId="31" borderId="8" xfId="66" applyNumberFormat="1" applyFont="1" applyFill="1" applyBorder="1" applyAlignment="1" applyProtection="1">
      <alignment horizontal="center" vertical="center" wrapText="1"/>
      <protection/>
    </xf>
    <xf numFmtId="49" fontId="0" fillId="31" borderId="26" xfId="66" applyNumberFormat="1" applyFont="1" applyFill="1" applyBorder="1" applyAlignment="1" applyProtection="1">
      <alignment horizontal="center" vertical="center" wrapText="1"/>
      <protection/>
    </xf>
    <xf numFmtId="0" fontId="15" fillId="40" borderId="29" xfId="66" applyNumberFormat="1" applyFont="1" applyFill="1" applyBorder="1" applyAlignment="1" applyProtection="1">
      <alignment vertical="top" wrapText="1"/>
      <protection/>
    </xf>
    <xf numFmtId="0" fontId="15" fillId="43" borderId="8" xfId="66" applyFont="1" applyFill="1" applyBorder="1" applyAlignment="1">
      <alignment vertical="center" wrapText="1"/>
      <protection/>
    </xf>
    <xf numFmtId="0" fontId="0" fillId="0" borderId="0" xfId="0" applyNumberFormat="1" applyAlignment="1" applyProtection="1">
      <alignment vertical="top"/>
      <protection/>
    </xf>
    <xf numFmtId="4" fontId="0" fillId="0" borderId="0" xfId="0" applyNumberFormat="1" applyFill="1" applyAlignment="1">
      <alignment vertical="top"/>
    </xf>
    <xf numFmtId="2" fontId="0" fillId="0" borderId="0" xfId="0" applyNumberFormat="1" applyBorder="1" applyAlignment="1">
      <alignment vertical="top"/>
    </xf>
    <xf numFmtId="2" fontId="0" fillId="0" borderId="0" xfId="0" applyNumberFormat="1" applyAlignment="1">
      <alignment horizontal="right" vertical="top"/>
    </xf>
    <xf numFmtId="2" fontId="0" fillId="0" borderId="0" xfId="0" applyNumberFormat="1" applyBorder="1" applyAlignment="1">
      <alignment horizontal="right" vertical="top"/>
    </xf>
    <xf numFmtId="2" fontId="0" fillId="0" borderId="0" xfId="0" applyNumberFormat="1" applyFill="1" applyBorder="1" applyAlignment="1">
      <alignment horizontal="right" vertical="top"/>
    </xf>
    <xf numFmtId="177" fontId="0" fillId="0" borderId="0" xfId="0" applyNumberFormat="1" applyBorder="1" applyAlignment="1">
      <alignment vertical="top"/>
    </xf>
    <xf numFmtId="180" fontId="0" fillId="0" borderId="0" xfId="0" applyNumberFormat="1" applyAlignment="1">
      <alignment vertical="top"/>
    </xf>
    <xf numFmtId="2" fontId="18" fillId="0" borderId="0" xfId="0" applyNumberFormat="1" applyFont="1" applyAlignment="1">
      <alignment vertical="top"/>
    </xf>
    <xf numFmtId="2" fontId="0" fillId="0" borderId="0" xfId="0" applyNumberFormat="1" applyFill="1" applyAlignment="1">
      <alignment vertical="top"/>
    </xf>
    <xf numFmtId="0" fontId="15" fillId="0" borderId="0" xfId="0" applyNumberFormat="1" applyFont="1" applyFill="1" applyBorder="1" applyAlignment="1" applyProtection="1">
      <alignment horizontal="center" vertical="top"/>
      <protection/>
    </xf>
    <xf numFmtId="185" fontId="25" fillId="0" borderId="0" xfId="78" applyNumberFormat="1" applyFont="1" applyFill="1" applyBorder="1" applyAlignment="1" applyProtection="1">
      <alignment vertical="top"/>
      <protection/>
    </xf>
    <xf numFmtId="185" fontId="27" fillId="0" borderId="0" xfId="78" applyNumberFormat="1" applyFont="1" applyFill="1" applyBorder="1" applyAlignment="1" applyProtection="1">
      <alignment vertical="top"/>
      <protection/>
    </xf>
    <xf numFmtId="185" fontId="0" fillId="29" borderId="0" xfId="78" applyNumberFormat="1" applyFont="1" applyFill="1" applyBorder="1" applyAlignment="1" applyProtection="1">
      <alignment vertical="top"/>
      <protection locked="0"/>
    </xf>
    <xf numFmtId="0" fontId="15" fillId="29" borderId="0" xfId="0" applyNumberFormat="1" applyFont="1" applyFill="1" applyBorder="1" applyAlignment="1" applyProtection="1">
      <alignment vertical="top"/>
      <protection locked="0"/>
    </xf>
    <xf numFmtId="43" fontId="0" fillId="29" borderId="0" xfId="78" applyFont="1" applyFill="1" applyBorder="1" applyAlignment="1" applyProtection="1">
      <alignment vertical="top"/>
      <protection locked="0"/>
    </xf>
    <xf numFmtId="4" fontId="0" fillId="29" borderId="16" xfId="81" applyFont="1" applyFill="1" applyBorder="1" applyProtection="1">
      <alignment horizontal="right"/>
      <protection locked="0"/>
    </xf>
    <xf numFmtId="4" fontId="0" fillId="29" borderId="16" xfId="81" applyFont="1" applyFill="1" applyBorder="1" applyProtection="1">
      <alignment horizontal="right"/>
      <protection locked="0"/>
    </xf>
    <xf numFmtId="4" fontId="18" fillId="40" borderId="16" xfId="81" applyFont="1" applyFill="1" applyBorder="1">
      <alignment horizontal="right"/>
      <protection/>
    </xf>
    <xf numFmtId="4" fontId="18" fillId="31" borderId="16" xfId="84" applyFont="1" applyFill="1" applyBorder="1">
      <alignment horizontal="right"/>
      <protection/>
    </xf>
    <xf numFmtId="4" fontId="0" fillId="29" borderId="16" xfId="80" applyFont="1" applyFill="1" applyBorder="1" applyProtection="1">
      <alignment horizontal="right"/>
      <protection locked="0"/>
    </xf>
    <xf numFmtId="4" fontId="0" fillId="29" borderId="16" xfId="57" applyFont="1" applyFill="1" applyBorder="1" applyProtection="1">
      <alignment horizontal="right"/>
      <protection locked="0"/>
    </xf>
    <xf numFmtId="1" fontId="18" fillId="29" borderId="16" xfId="71" applyNumberFormat="1" applyFont="1" applyFill="1" applyBorder="1" applyAlignment="1" applyProtection="1">
      <alignment horizontal="right"/>
      <protection locked="0"/>
    </xf>
    <xf numFmtId="4" fontId="18" fillId="40" borderId="16" xfId="57" applyFont="1" applyFill="1" applyBorder="1">
      <alignment horizontal="right"/>
      <protection/>
    </xf>
    <xf numFmtId="4" fontId="18" fillId="40" borderId="21" xfId="57" applyFont="1" applyFill="1" applyBorder="1">
      <alignment horizontal="right"/>
      <protection/>
    </xf>
    <xf numFmtId="0" fontId="4" fillId="0" borderId="0" xfId="65">
      <alignment/>
      <protection/>
    </xf>
    <xf numFmtId="181" fontId="0" fillId="0" borderId="21" xfId="78" applyNumberFormat="1" applyFont="1" applyBorder="1" applyAlignment="1">
      <alignment/>
    </xf>
    <xf numFmtId="181" fontId="0" fillId="0" borderId="20" xfId="78" applyNumberFormat="1" applyFont="1" applyBorder="1" applyAlignment="1">
      <alignment/>
    </xf>
    <xf numFmtId="181" fontId="0" fillId="0" borderId="15" xfId="78" applyNumberFormat="1" applyFont="1" applyBorder="1" applyAlignment="1">
      <alignment/>
    </xf>
    <xf numFmtId="49" fontId="4" fillId="0" borderId="15" xfId="65" applyNumberFormat="1" applyBorder="1" applyAlignment="1">
      <alignment horizontal="center"/>
      <protection/>
    </xf>
    <xf numFmtId="49" fontId="4" fillId="0" borderId="14" xfId="65" applyNumberFormat="1" applyBorder="1" applyAlignment="1">
      <alignment horizontal="center"/>
      <protection/>
    </xf>
    <xf numFmtId="181" fontId="0" fillId="0" borderId="16" xfId="78" applyNumberFormat="1" applyFont="1" applyBorder="1" applyAlignment="1">
      <alignment/>
    </xf>
    <xf numFmtId="181" fontId="0" fillId="0" borderId="8" xfId="78" applyNumberFormat="1" applyFont="1" applyBorder="1" applyAlignment="1">
      <alignment/>
    </xf>
    <xf numFmtId="181" fontId="0" fillId="0" borderId="14" xfId="78" applyNumberFormat="1" applyFont="1" applyBorder="1" applyAlignment="1">
      <alignment/>
    </xf>
    <xf numFmtId="0" fontId="4" fillId="0" borderId="17" xfId="65" applyBorder="1">
      <alignment/>
      <protection/>
    </xf>
    <xf numFmtId="0" fontId="4" fillId="0" borderId="14" xfId="65" applyBorder="1" applyAlignment="1">
      <alignment horizontal="center"/>
      <protection/>
    </xf>
    <xf numFmtId="181" fontId="0" fillId="0" borderId="16" xfId="78" applyNumberFormat="1" applyFont="1" applyBorder="1" applyAlignment="1">
      <alignment horizontal="center"/>
    </xf>
    <xf numFmtId="0" fontId="4" fillId="0" borderId="28" xfId="65" applyBorder="1">
      <alignment/>
      <protection/>
    </xf>
    <xf numFmtId="0" fontId="4" fillId="0" borderId="0" xfId="65" applyFill="1">
      <alignment/>
      <protection/>
    </xf>
    <xf numFmtId="0" fontId="4" fillId="0" borderId="0" xfId="65" applyAlignment="1">
      <alignment horizontal="center" wrapText="1"/>
      <protection/>
    </xf>
    <xf numFmtId="0" fontId="4" fillId="0" borderId="0" xfId="65" applyAlignment="1">
      <alignment horizontal="left" wrapText="1"/>
      <protection/>
    </xf>
    <xf numFmtId="0" fontId="4" fillId="0" borderId="0" xfId="65" applyAlignment="1">
      <alignment horizontal="left"/>
      <protection/>
    </xf>
    <xf numFmtId="49" fontId="4" fillId="0" borderId="14" xfId="65" applyNumberFormat="1" applyFill="1" applyBorder="1" applyAlignment="1">
      <alignment horizontal="center"/>
      <protection/>
    </xf>
    <xf numFmtId="181" fontId="0" fillId="0" borderId="14" xfId="78" applyNumberFormat="1" applyFont="1" applyFill="1" applyBorder="1" applyAlignment="1">
      <alignment/>
    </xf>
    <xf numFmtId="181" fontId="0" fillId="0" borderId="8" xfId="78" applyNumberFormat="1" applyFont="1" applyFill="1" applyBorder="1" applyAlignment="1">
      <alignment/>
    </xf>
    <xf numFmtId="181" fontId="0" fillId="0" borderId="16" xfId="78" applyNumberFormat="1" applyFont="1" applyFill="1" applyBorder="1" applyAlignment="1">
      <alignment/>
    </xf>
    <xf numFmtId="49" fontId="4" fillId="44" borderId="14" xfId="65" applyNumberFormat="1" applyFill="1" applyBorder="1" applyAlignment="1">
      <alignment horizontal="center"/>
      <protection/>
    </xf>
    <xf numFmtId="0" fontId="4" fillId="0" borderId="14" xfId="65" applyFill="1" applyBorder="1" applyAlignment="1">
      <alignment horizontal="center"/>
      <protection/>
    </xf>
    <xf numFmtId="49" fontId="4" fillId="6" borderId="14" xfId="65" applyNumberFormat="1" applyFill="1" applyBorder="1" applyAlignment="1">
      <alignment horizontal="center"/>
      <protection/>
    </xf>
    <xf numFmtId="0" fontId="4" fillId="6" borderId="14" xfId="65" applyFill="1" applyBorder="1" applyAlignment="1">
      <alignment horizontal="center"/>
      <protection/>
    </xf>
    <xf numFmtId="0" fontId="22" fillId="29" borderId="8" xfId="65" applyFont="1" applyFill="1" applyBorder="1" applyAlignment="1" applyProtection="1">
      <alignment horizontal="center" vertical="center"/>
      <protection locked="0"/>
    </xf>
    <xf numFmtId="10" fontId="22" fillId="31" borderId="8" xfId="71" applyNumberFormat="1" applyFont="1" applyFill="1" applyBorder="1" applyAlignment="1" applyProtection="1">
      <alignment horizontal="center" vertical="center"/>
      <protection/>
    </xf>
    <xf numFmtId="0" fontId="18" fillId="0" borderId="8" xfId="65" applyFont="1" applyFill="1" applyBorder="1" applyAlignment="1" applyProtection="1">
      <alignment vertical="center" wrapText="1"/>
      <protection/>
    </xf>
    <xf numFmtId="0" fontId="18" fillId="0" borderId="8" xfId="65" applyFont="1" applyFill="1" applyBorder="1" applyAlignment="1" applyProtection="1">
      <alignment vertical="center"/>
      <protection/>
    </xf>
    <xf numFmtId="0" fontId="0" fillId="0" borderId="8" xfId="65" applyFont="1" applyFill="1" applyBorder="1" applyAlignment="1" applyProtection="1">
      <alignment vertical="center" wrapText="1"/>
      <protection/>
    </xf>
    <xf numFmtId="0" fontId="23" fillId="0" borderId="8" xfId="65" applyFont="1" applyFill="1" applyBorder="1" applyAlignment="1" applyProtection="1">
      <alignment horizontal="left" vertical="center" wrapText="1" indent="1"/>
      <protection/>
    </xf>
    <xf numFmtId="3" fontId="23" fillId="0" borderId="8" xfId="65" applyNumberFormat="1" applyFont="1" applyFill="1" applyBorder="1" applyAlignment="1" applyProtection="1">
      <alignment horizontal="left" vertical="center" wrapText="1" indent="1"/>
      <protection/>
    </xf>
    <xf numFmtId="0" fontId="18" fillId="0" borderId="8" xfId="55" applyFont="1" applyFill="1" applyBorder="1" applyAlignment="1" applyProtection="1">
      <alignment horizontal="left" vertical="center" wrapText="1"/>
      <protection/>
    </xf>
    <xf numFmtId="0" fontId="18" fillId="0" borderId="8" xfId="65" applyFont="1" applyFill="1" applyBorder="1" applyAlignment="1" applyProtection="1">
      <alignment vertical="top" wrapText="1"/>
      <protection/>
    </xf>
    <xf numFmtId="0" fontId="23" fillId="0" borderId="8" xfId="65" applyFont="1" applyFill="1" applyBorder="1" applyAlignment="1" applyProtection="1">
      <alignment horizontal="left" vertical="top" wrapText="1" indent="1"/>
      <protection/>
    </xf>
    <xf numFmtId="208" fontId="0" fillId="31" borderId="8" xfId="71" applyNumberFormat="1" applyFont="1" applyFill="1" applyBorder="1" applyAlignment="1" applyProtection="1">
      <alignment horizontal="right"/>
      <protection/>
    </xf>
    <xf numFmtId="0" fontId="45" fillId="0" borderId="0" xfId="65" applyFont="1" applyAlignment="1">
      <alignment horizontal="left"/>
      <protection/>
    </xf>
    <xf numFmtId="0" fontId="15" fillId="0" borderId="8" xfId="65" applyFont="1" applyBorder="1" applyAlignment="1" applyProtection="1">
      <alignment horizontal="center"/>
      <protection/>
    </xf>
    <xf numFmtId="0" fontId="18" fillId="0" borderId="8" xfId="65" applyFont="1" applyFill="1" applyBorder="1" applyAlignment="1" applyProtection="1">
      <alignment wrapText="1"/>
      <protection/>
    </xf>
    <xf numFmtId="181" fontId="0" fillId="44" borderId="14" xfId="78" applyNumberFormat="1" applyFont="1" applyFill="1" applyBorder="1" applyAlignment="1">
      <alignment/>
    </xf>
    <xf numFmtId="181" fontId="0" fillId="44" borderId="8" xfId="78" applyNumberFormat="1" applyFont="1" applyFill="1" applyBorder="1" applyAlignment="1">
      <alignment/>
    </xf>
    <xf numFmtId="181" fontId="0" fillId="44" borderId="16" xfId="78" applyNumberFormat="1" applyFont="1" applyFill="1" applyBorder="1" applyAlignment="1">
      <alignment/>
    </xf>
    <xf numFmtId="181" fontId="4" fillId="0" borderId="0" xfId="65" applyNumberFormat="1">
      <alignment/>
      <protection/>
    </xf>
    <xf numFmtId="177" fontId="0" fillId="31" borderId="14" xfId="80" applyNumberFormat="1" applyBorder="1">
      <alignment horizontal="right"/>
      <protection/>
    </xf>
    <xf numFmtId="177" fontId="0" fillId="31" borderId="8" xfId="80" applyNumberFormat="1" applyBorder="1">
      <alignment horizontal="right"/>
      <protection/>
    </xf>
    <xf numFmtId="177" fontId="0" fillId="31" borderId="16" xfId="80" applyNumberFormat="1" applyBorder="1">
      <alignment horizontal="right"/>
      <protection/>
    </xf>
    <xf numFmtId="177" fontId="0" fillId="0" borderId="14" xfId="80" applyNumberFormat="1" applyFill="1" applyBorder="1">
      <alignment horizontal="right"/>
      <protection/>
    </xf>
    <xf numFmtId="177" fontId="0" fillId="0" borderId="14" xfId="0" applyNumberFormat="1" applyBorder="1" applyAlignment="1">
      <alignment vertical="top"/>
    </xf>
    <xf numFmtId="177" fontId="0" fillId="0" borderId="8" xfId="0" applyNumberFormat="1" applyBorder="1" applyAlignment="1">
      <alignment vertical="top"/>
    </xf>
    <xf numFmtId="177" fontId="0" fillId="0" borderId="16" xfId="0" applyNumberFormat="1" applyBorder="1" applyAlignment="1">
      <alignment vertical="top"/>
    </xf>
    <xf numFmtId="177" fontId="0" fillId="29" borderId="8" xfId="0" applyNumberFormat="1" applyFill="1" applyBorder="1" applyAlignment="1">
      <alignment vertical="top"/>
    </xf>
    <xf numFmtId="177" fontId="0" fillId="29" borderId="16" xfId="0" applyNumberFormat="1" applyFill="1" applyBorder="1" applyAlignment="1">
      <alignment vertical="top"/>
    </xf>
    <xf numFmtId="177" fontId="0" fillId="29" borderId="8" xfId="57" applyNumberFormat="1" applyBorder="1">
      <alignment horizontal="right"/>
      <protection/>
    </xf>
    <xf numFmtId="177" fontId="0" fillId="29" borderId="16" xfId="57" applyNumberFormat="1" applyBorder="1">
      <alignment horizontal="right"/>
      <protection/>
    </xf>
    <xf numFmtId="177" fontId="0" fillId="31" borderId="8" xfId="80" applyNumberFormat="1" applyFont="1" applyBorder="1">
      <alignment horizontal="right"/>
      <protection/>
    </xf>
    <xf numFmtId="177" fontId="0" fillId="29" borderId="8" xfId="57" applyNumberFormat="1" applyFont="1" applyBorder="1" applyProtection="1">
      <alignment horizontal="right"/>
      <protection locked="0"/>
    </xf>
    <xf numFmtId="177" fontId="0" fillId="29" borderId="16" xfId="57" applyNumberFormat="1" applyFont="1" applyBorder="1" applyProtection="1">
      <alignment horizontal="right"/>
      <protection locked="0"/>
    </xf>
    <xf numFmtId="177" fontId="0" fillId="29" borderId="8" xfId="57" applyNumberFormat="1" applyFont="1" applyBorder="1">
      <alignment horizontal="right"/>
      <protection/>
    </xf>
    <xf numFmtId="177" fontId="0" fillId="29" borderId="20" xfId="57" applyNumberFormat="1" applyBorder="1">
      <alignment horizontal="right"/>
      <protection/>
    </xf>
    <xf numFmtId="177" fontId="0" fillId="29" borderId="21" xfId="57" applyNumberFormat="1" applyBorder="1">
      <alignment horizontal="right"/>
      <protection/>
    </xf>
    <xf numFmtId="177" fontId="0" fillId="0" borderId="15" xfId="78" applyNumberFormat="1" applyFont="1" applyBorder="1" applyAlignment="1">
      <alignment vertical="top"/>
    </xf>
    <xf numFmtId="177" fontId="0" fillId="0" borderId="20" xfId="78" applyNumberFormat="1" applyFont="1" applyBorder="1" applyAlignment="1">
      <alignment vertical="top"/>
    </xf>
    <xf numFmtId="177" fontId="0" fillId="0" borderId="21" xfId="78" applyNumberFormat="1" applyFont="1" applyBorder="1" applyAlignment="1">
      <alignment vertical="top"/>
    </xf>
    <xf numFmtId="177" fontId="0" fillId="31" borderId="29" xfId="80" applyNumberFormat="1" applyBorder="1">
      <alignment horizontal="right"/>
      <protection/>
    </xf>
    <xf numFmtId="177" fontId="0" fillId="0" borderId="8" xfId="80" applyNumberFormat="1" applyFill="1" applyBorder="1">
      <alignment horizontal="right"/>
      <protection/>
    </xf>
    <xf numFmtId="177" fontId="0" fillId="29" borderId="8" xfId="80" applyNumberFormat="1" applyFont="1" applyFill="1" applyBorder="1">
      <alignment horizontal="right"/>
      <protection/>
    </xf>
    <xf numFmtId="177" fontId="0" fillId="29" borderId="16" xfId="80" applyNumberFormat="1" applyFont="1" applyFill="1" applyBorder="1">
      <alignment horizontal="right"/>
      <protection/>
    </xf>
    <xf numFmtId="177" fontId="0" fillId="0" borderId="20" xfId="78" applyNumberFormat="1" applyFont="1" applyBorder="1" applyAlignment="1">
      <alignment vertical="top"/>
    </xf>
    <xf numFmtId="0" fontId="47" fillId="0" borderId="0" xfId="0" applyNumberFormat="1" applyFont="1" applyAlignment="1">
      <alignment horizontal="center"/>
    </xf>
    <xf numFmtId="0" fontId="48" fillId="44" borderId="0" xfId="65" applyFont="1" applyFill="1">
      <alignment/>
      <protection/>
    </xf>
    <xf numFmtId="0" fontId="4" fillId="44" borderId="0" xfId="65" applyFill="1">
      <alignment/>
      <protection/>
    </xf>
    <xf numFmtId="49" fontId="4" fillId="7" borderId="14" xfId="65" applyNumberFormat="1" applyFill="1" applyBorder="1" applyAlignment="1">
      <alignment horizontal="center"/>
      <protection/>
    </xf>
    <xf numFmtId="181" fontId="0" fillId="7" borderId="14" xfId="78" applyNumberFormat="1" applyFont="1" applyFill="1" applyBorder="1" applyAlignment="1">
      <alignment/>
    </xf>
    <xf numFmtId="181" fontId="0" fillId="7" borderId="8" xfId="78" applyNumberFormat="1" applyFont="1" applyFill="1" applyBorder="1" applyAlignment="1">
      <alignment/>
    </xf>
    <xf numFmtId="181" fontId="0" fillId="7" borderId="16" xfId="78" applyNumberFormat="1" applyFont="1" applyFill="1" applyBorder="1" applyAlignment="1">
      <alignment/>
    </xf>
    <xf numFmtId="177" fontId="0" fillId="29" borderId="8" xfId="0" applyNumberFormat="1" applyFill="1" applyBorder="1" applyAlignment="1" applyProtection="1">
      <alignment vertical="top"/>
      <protection locked="0"/>
    </xf>
    <xf numFmtId="177" fontId="0" fillId="29" borderId="16" xfId="0" applyNumberFormat="1" applyFill="1" applyBorder="1" applyAlignment="1" applyProtection="1">
      <alignment vertical="top"/>
      <protection locked="0"/>
    </xf>
    <xf numFmtId="177" fontId="0" fillId="29" borderId="8" xfId="57" applyNumberFormat="1" applyBorder="1" applyProtection="1">
      <alignment horizontal="right"/>
      <protection locked="0"/>
    </xf>
    <xf numFmtId="177" fontId="0" fillId="29" borderId="16" xfId="57" applyNumberFormat="1" applyBorder="1" applyProtection="1">
      <alignment horizontal="right"/>
      <protection locked="0"/>
    </xf>
    <xf numFmtId="177" fontId="0" fillId="31" borderId="16" xfId="80" applyNumberFormat="1" applyFont="1" applyBorder="1">
      <alignment horizontal="right"/>
      <protection/>
    </xf>
    <xf numFmtId="177" fontId="0" fillId="29" borderId="8" xfId="80" applyNumberFormat="1" applyFont="1" applyFill="1" applyBorder="1" applyProtection="1">
      <alignment horizontal="right"/>
      <protection locked="0"/>
    </xf>
    <xf numFmtId="181" fontId="0" fillId="0" borderId="14" xfId="78" applyNumberFormat="1" applyFont="1" applyFill="1" applyBorder="1" applyAlignment="1">
      <alignment/>
    </xf>
    <xf numFmtId="181" fontId="0" fillId="0" borderId="8" xfId="78" applyNumberFormat="1" applyFont="1" applyFill="1" applyBorder="1" applyAlignment="1">
      <alignment/>
    </xf>
    <xf numFmtId="181" fontId="0" fillId="0" borderId="16" xfId="78" applyNumberFormat="1" applyFont="1" applyFill="1" applyBorder="1" applyAlignment="1">
      <alignment/>
    </xf>
    <xf numFmtId="0" fontId="1" fillId="0" borderId="32" xfId="65" applyFont="1" applyBorder="1" applyAlignment="1">
      <alignment wrapText="1"/>
      <protection/>
    </xf>
    <xf numFmtId="0" fontId="4" fillId="44" borderId="17" xfId="65" applyFill="1" applyBorder="1">
      <alignment/>
      <protection/>
    </xf>
    <xf numFmtId="0" fontId="1" fillId="28" borderId="17" xfId="65" applyFont="1" applyFill="1" applyBorder="1" applyAlignment="1">
      <alignment wrapText="1"/>
      <protection/>
    </xf>
    <xf numFmtId="0" fontId="1" fillId="28" borderId="17" xfId="65" applyNumberFormat="1" applyFont="1" applyFill="1" applyBorder="1" applyAlignment="1">
      <alignment wrapText="1"/>
      <protection/>
    </xf>
    <xf numFmtId="0" fontId="4" fillId="0" borderId="17" xfId="65" applyBorder="1" applyAlignment="1">
      <alignment wrapText="1"/>
      <protection/>
    </xf>
    <xf numFmtId="0" fontId="4" fillId="7" borderId="17" xfId="65" applyFill="1" applyBorder="1">
      <alignment/>
      <protection/>
    </xf>
    <xf numFmtId="49" fontId="4" fillId="0" borderId="17" xfId="65" applyNumberFormat="1" applyBorder="1">
      <alignment/>
      <protection/>
    </xf>
    <xf numFmtId="49" fontId="1" fillId="6" borderId="17" xfId="65" applyNumberFormat="1" applyFont="1" applyFill="1" applyBorder="1" applyAlignment="1">
      <alignment wrapText="1"/>
      <protection/>
    </xf>
    <xf numFmtId="0" fontId="4" fillId="0" borderId="17" xfId="65" applyFill="1" applyBorder="1">
      <alignment/>
      <protection/>
    </xf>
    <xf numFmtId="0" fontId="1" fillId="0" borderId="17" xfId="65" applyFont="1" applyBorder="1">
      <alignment/>
      <protection/>
    </xf>
    <xf numFmtId="0" fontId="1" fillId="0" borderId="17" xfId="65" applyFont="1" applyBorder="1" applyAlignment="1">
      <alignment wrapText="1"/>
      <protection/>
    </xf>
    <xf numFmtId="0" fontId="4" fillId="0" borderId="22" xfId="65" applyBorder="1" applyAlignment="1">
      <alignment wrapText="1"/>
      <protection/>
    </xf>
    <xf numFmtId="181" fontId="0" fillId="0" borderId="19" xfId="78" applyNumberFormat="1" applyFont="1" applyBorder="1" applyAlignment="1">
      <alignment/>
    </xf>
    <xf numFmtId="181" fontId="4" fillId="0" borderId="14" xfId="65" applyNumberFormat="1" applyBorder="1">
      <alignment/>
      <protection/>
    </xf>
    <xf numFmtId="0" fontId="1" fillId="44" borderId="0" xfId="65" applyFont="1" applyFill="1">
      <alignment/>
      <protection/>
    </xf>
    <xf numFmtId="4" fontId="22" fillId="29" borderId="8" xfId="65" applyNumberFormat="1" applyFont="1" applyFill="1" applyBorder="1" applyAlignment="1" applyProtection="1">
      <alignment horizontal="center" vertical="center"/>
      <protection locked="0"/>
    </xf>
    <xf numFmtId="0" fontId="50" fillId="0" borderId="0" xfId="65" applyFont="1">
      <alignment/>
      <protection/>
    </xf>
    <xf numFmtId="0" fontId="50" fillId="0" borderId="0" xfId="65" applyFont="1" applyAlignment="1">
      <alignment horizontal="right"/>
      <protection/>
    </xf>
    <xf numFmtId="0" fontId="50" fillId="0" borderId="8" xfId="65" applyFont="1" applyBorder="1" applyAlignment="1">
      <alignment horizontal="center"/>
      <protection/>
    </xf>
    <xf numFmtId="49" fontId="50" fillId="0" borderId="8" xfId="65" applyNumberFormat="1" applyFont="1" applyBorder="1" applyAlignment="1">
      <alignment horizontal="center"/>
      <protection/>
    </xf>
    <xf numFmtId="0" fontId="50" fillId="0" borderId="17" xfId="65" applyFont="1" applyBorder="1" applyAlignment="1">
      <alignment horizontal="left"/>
      <protection/>
    </xf>
    <xf numFmtId="0" fontId="50" fillId="0" borderId="23" xfId="65" applyFont="1" applyBorder="1" applyAlignment="1">
      <alignment horizontal="left" wrapText="1"/>
      <protection/>
    </xf>
    <xf numFmtId="49" fontId="50" fillId="0" borderId="8" xfId="65" applyNumberFormat="1" applyFont="1" applyBorder="1" applyAlignment="1">
      <alignment horizontal="center" vertical="top"/>
      <protection/>
    </xf>
    <xf numFmtId="0" fontId="9" fillId="0" borderId="0" xfId="50" applyAlignment="1">
      <alignment horizontal="center" vertical="center" wrapText="1"/>
      <protection/>
    </xf>
    <xf numFmtId="0" fontId="4" fillId="44" borderId="17" xfId="65" applyFill="1" applyBorder="1" applyAlignment="1">
      <alignment wrapText="1"/>
      <protection/>
    </xf>
    <xf numFmtId="49" fontId="52" fillId="0" borderId="8" xfId="0" applyFont="1" applyBorder="1" applyAlignment="1">
      <alignment horizontal="left" vertical="center" wrapText="1"/>
    </xf>
    <xf numFmtId="177" fontId="0" fillId="31" borderId="17" xfId="80" applyNumberFormat="1" applyBorder="1">
      <alignment horizontal="right"/>
      <protection/>
    </xf>
    <xf numFmtId="177" fontId="0" fillId="0" borderId="17" xfId="0" applyNumberFormat="1" applyBorder="1" applyAlignment="1">
      <alignment vertical="top"/>
    </xf>
    <xf numFmtId="177" fontId="0" fillId="31" borderId="17" xfId="80" applyNumberFormat="1" applyFont="1" applyBorder="1">
      <alignment horizontal="right"/>
      <protection/>
    </xf>
    <xf numFmtId="177" fontId="0" fillId="29" borderId="17" xfId="57" applyNumberFormat="1" applyBorder="1">
      <alignment horizontal="right"/>
      <protection/>
    </xf>
    <xf numFmtId="177" fontId="0" fillId="29" borderId="22" xfId="57" applyNumberFormat="1" applyBorder="1">
      <alignment horizontal="right"/>
      <protection/>
    </xf>
    <xf numFmtId="0" fontId="15" fillId="0" borderId="17" xfId="55" applyFont="1" applyBorder="1">
      <alignment horizontal="center" vertical="center" wrapText="1"/>
      <protection/>
    </xf>
    <xf numFmtId="177" fontId="0" fillId="0" borderId="22" xfId="78" applyNumberFormat="1" applyFont="1" applyBorder="1" applyAlignment="1">
      <alignment vertical="top"/>
    </xf>
    <xf numFmtId="0" fontId="15" fillId="0" borderId="22" xfId="55" applyBorder="1">
      <alignment horizontal="center" vertical="center" wrapText="1"/>
      <protection/>
    </xf>
    <xf numFmtId="177" fontId="0" fillId="31" borderId="32" xfId="80" applyNumberFormat="1" applyBorder="1">
      <alignment horizontal="right"/>
      <protection/>
    </xf>
    <xf numFmtId="177" fontId="0" fillId="29" borderId="17" xfId="0" applyNumberFormat="1" applyFill="1" applyBorder="1" applyAlignment="1" applyProtection="1">
      <alignment vertical="top"/>
      <protection locked="0"/>
    </xf>
    <xf numFmtId="177" fontId="0" fillId="29" borderId="17" xfId="57" applyNumberFormat="1" applyBorder="1" applyProtection="1">
      <alignment horizontal="right"/>
      <protection locked="0"/>
    </xf>
    <xf numFmtId="177" fontId="0" fillId="29" borderId="17" xfId="80" applyNumberFormat="1" applyFont="1" applyFill="1" applyBorder="1" applyProtection="1">
      <alignment horizontal="right"/>
      <protection locked="0"/>
    </xf>
    <xf numFmtId="177" fontId="0" fillId="29" borderId="17" xfId="57" applyNumberFormat="1" applyFont="1" applyBorder="1" applyProtection="1">
      <alignment horizontal="right"/>
      <protection locked="0"/>
    </xf>
    <xf numFmtId="177" fontId="0" fillId="0" borderId="22" xfId="78" applyNumberFormat="1" applyFont="1" applyBorder="1" applyAlignment="1">
      <alignment vertical="top"/>
    </xf>
    <xf numFmtId="0" fontId="15" fillId="0" borderId="35" xfId="55" applyBorder="1">
      <alignment horizontal="center" vertical="center" wrapText="1"/>
      <protection/>
    </xf>
    <xf numFmtId="177" fontId="0" fillId="31" borderId="28" xfId="80" applyNumberFormat="1" applyBorder="1">
      <alignment horizontal="right"/>
      <protection/>
    </xf>
    <xf numFmtId="177" fontId="0" fillId="31" borderId="37" xfId="80" applyNumberFormat="1" applyBorder="1">
      <alignment horizontal="right"/>
      <protection/>
    </xf>
    <xf numFmtId="177" fontId="0" fillId="0" borderId="15" xfId="78" applyNumberFormat="1" applyFont="1" applyBorder="1" applyAlignment="1">
      <alignment vertical="top"/>
    </xf>
    <xf numFmtId="177" fontId="0" fillId="0" borderId="21" xfId="78" applyNumberFormat="1" applyFont="1" applyBorder="1" applyAlignment="1">
      <alignment vertical="top"/>
    </xf>
    <xf numFmtId="10" fontId="0" fillId="31" borderId="38" xfId="80" applyNumberFormat="1" applyFont="1" applyFill="1" applyBorder="1">
      <alignment horizontal="right"/>
      <protection/>
    </xf>
    <xf numFmtId="49" fontId="0" fillId="31" borderId="35" xfId="0" applyFont="1" applyFill="1" applyBorder="1" applyAlignment="1">
      <alignment vertical="top"/>
    </xf>
    <xf numFmtId="0" fontId="50" fillId="0" borderId="39" xfId="65" applyFont="1" applyBorder="1">
      <alignment/>
      <protection/>
    </xf>
    <xf numFmtId="0" fontId="50" fillId="0" borderId="0" xfId="65" applyFont="1" applyBorder="1">
      <alignment/>
      <protection/>
    </xf>
    <xf numFmtId="0" fontId="54" fillId="44" borderId="0" xfId="65" applyFont="1" applyFill="1">
      <alignment/>
      <protection/>
    </xf>
    <xf numFmtId="0" fontId="37" fillId="0" borderId="0" xfId="65" applyFont="1" applyAlignment="1" applyProtection="1">
      <alignment horizontal="center"/>
      <protection/>
    </xf>
    <xf numFmtId="4" fontId="0" fillId="10" borderId="14" xfId="80" applyFill="1" applyBorder="1">
      <alignment horizontal="right"/>
      <protection/>
    </xf>
    <xf numFmtId="4" fontId="0" fillId="10" borderId="40" xfId="80" applyFill="1" applyBorder="1">
      <alignment horizontal="right"/>
      <protection/>
    </xf>
    <xf numFmtId="177" fontId="0" fillId="10" borderId="8" xfId="0" applyNumberFormat="1" applyFill="1" applyBorder="1" applyAlignment="1">
      <alignment vertical="top"/>
    </xf>
    <xf numFmtId="177" fontId="0" fillId="10" borderId="17" xfId="0" applyNumberFormat="1" applyFill="1" applyBorder="1" applyAlignment="1">
      <alignment vertical="top"/>
    </xf>
    <xf numFmtId="0" fontId="9" fillId="0" borderId="0" xfId="50" applyAlignment="1">
      <alignment vertical="center" wrapText="1"/>
      <protection/>
    </xf>
    <xf numFmtId="177" fontId="0" fillId="10" borderId="8" xfId="80" applyNumberFormat="1" applyFill="1" applyBorder="1">
      <alignment horizontal="right"/>
      <protection/>
    </xf>
    <xf numFmtId="0" fontId="9" fillId="0" borderId="41" xfId="50" applyBorder="1" applyAlignment="1">
      <alignment vertical="center" wrapText="1"/>
      <protection/>
    </xf>
    <xf numFmtId="0" fontId="9" fillId="0" borderId="0" xfId="50" applyFont="1" applyAlignment="1">
      <alignment vertical="center" wrapText="1"/>
      <protection/>
    </xf>
    <xf numFmtId="181" fontId="50" fillId="0" borderId="8" xfId="65" applyNumberFormat="1" applyFont="1" applyBorder="1" applyAlignment="1">
      <alignment horizontal="center"/>
      <protection/>
    </xf>
    <xf numFmtId="0" fontId="4" fillId="10" borderId="0" xfId="65" applyFill="1">
      <alignment/>
      <protection/>
    </xf>
    <xf numFmtId="0" fontId="55" fillId="10" borderId="0" xfId="65" applyFont="1" applyFill="1">
      <alignment/>
      <protection/>
    </xf>
    <xf numFmtId="181" fontId="0" fillId="10" borderId="14" xfId="78" applyNumberFormat="1" applyFont="1" applyFill="1" applyBorder="1" applyAlignment="1">
      <alignment/>
    </xf>
    <xf numFmtId="181" fontId="0" fillId="10" borderId="8" xfId="78" applyNumberFormat="1" applyFont="1" applyFill="1" applyBorder="1" applyAlignment="1">
      <alignment/>
    </xf>
    <xf numFmtId="181" fontId="0" fillId="10" borderId="13" xfId="78" applyNumberFormat="1" applyFont="1" applyFill="1" applyBorder="1" applyAlignment="1">
      <alignment/>
    </xf>
    <xf numFmtId="181" fontId="0" fillId="10" borderId="8" xfId="71" applyNumberFormat="1" applyFont="1" applyFill="1" applyBorder="1" applyAlignment="1">
      <alignment/>
    </xf>
    <xf numFmtId="181" fontId="4" fillId="10" borderId="14" xfId="78" applyNumberFormat="1" applyFont="1" applyFill="1" applyBorder="1" applyAlignment="1">
      <alignment/>
    </xf>
    <xf numFmtId="181" fontId="4" fillId="10" borderId="8" xfId="78" applyNumberFormat="1" applyFont="1" applyFill="1" applyBorder="1" applyAlignment="1">
      <alignment/>
    </xf>
    <xf numFmtId="181" fontId="4" fillId="0" borderId="16" xfId="78" applyNumberFormat="1" applyFont="1" applyFill="1" applyBorder="1" applyAlignment="1">
      <alignment/>
    </xf>
    <xf numFmtId="181" fontId="4" fillId="10" borderId="14" xfId="65" applyNumberFormat="1" applyFill="1" applyBorder="1">
      <alignment/>
      <protection/>
    </xf>
    <xf numFmtId="181" fontId="4" fillId="10" borderId="8" xfId="65" applyNumberFormat="1" applyFill="1" applyBorder="1">
      <alignment/>
      <protection/>
    </xf>
    <xf numFmtId="0" fontId="4" fillId="0" borderId="25" xfId="65" applyBorder="1" applyAlignment="1">
      <alignment horizontal="center" wrapText="1"/>
      <protection/>
    </xf>
    <xf numFmtId="0" fontId="4" fillId="0" borderId="26" xfId="65" applyBorder="1" applyAlignment="1">
      <alignment horizontal="center" wrapText="1"/>
      <protection/>
    </xf>
    <xf numFmtId="0" fontId="4" fillId="0" borderId="27" xfId="65" applyBorder="1" applyAlignment="1">
      <alignment horizontal="center" wrapText="1"/>
      <protection/>
    </xf>
    <xf numFmtId="181" fontId="0" fillId="10" borderId="18" xfId="78" applyNumberFormat="1" applyFont="1" applyFill="1" applyBorder="1" applyAlignment="1">
      <alignment/>
    </xf>
    <xf numFmtId="0" fontId="0" fillId="45" borderId="0" xfId="65" applyFont="1" applyFill="1" applyBorder="1" applyAlignment="1" applyProtection="1">
      <alignment horizontal="center"/>
      <protection/>
    </xf>
    <xf numFmtId="0" fontId="42" fillId="0" borderId="0" xfId="65" applyFont="1" applyFill="1" applyBorder="1" applyAlignment="1" applyProtection="1">
      <alignment horizontal="centerContinuous" vertical="top" wrapText="1"/>
      <protection/>
    </xf>
    <xf numFmtId="0" fontId="15" fillId="0" borderId="8" xfId="65" applyFont="1" applyBorder="1" applyAlignment="1" applyProtection="1">
      <alignment horizontal="center" vertical="center"/>
      <protection/>
    </xf>
    <xf numFmtId="0" fontId="0" fillId="0" borderId="0" xfId="65" applyFont="1" applyBorder="1" applyAlignment="1" applyProtection="1">
      <alignment/>
      <protection/>
    </xf>
    <xf numFmtId="0" fontId="0" fillId="45" borderId="0" xfId="65" applyFont="1" applyFill="1" applyBorder="1" applyAlignment="1" applyProtection="1">
      <alignment/>
      <protection/>
    </xf>
    <xf numFmtId="0" fontId="22" fillId="0" borderId="8" xfId="65" applyFont="1" applyFill="1" applyBorder="1" applyAlignment="1" applyProtection="1">
      <alignment horizontal="center" vertical="center"/>
      <protection/>
    </xf>
    <xf numFmtId="49" fontId="22" fillId="0" borderId="8" xfId="50" applyNumberFormat="1" applyFont="1" applyBorder="1" applyAlignment="1" applyProtection="1">
      <alignment horizontal="left" vertical="center" wrapText="1"/>
      <protection/>
    </xf>
    <xf numFmtId="208" fontId="22" fillId="29" borderId="8" xfId="71" applyNumberFormat="1" applyFont="1" applyFill="1" applyBorder="1" applyAlignment="1" applyProtection="1">
      <alignment horizontal="center" vertical="center"/>
      <protection locked="0"/>
    </xf>
    <xf numFmtId="9" fontId="22" fillId="29" borderId="8" xfId="65" applyNumberFormat="1" applyFont="1" applyFill="1" applyBorder="1" applyAlignment="1" applyProtection="1">
      <alignment horizontal="center" vertical="center"/>
      <protection locked="0"/>
    </xf>
    <xf numFmtId="208" fontId="22" fillId="29" borderId="8" xfId="65" applyNumberFormat="1" applyFont="1" applyFill="1" applyBorder="1" applyAlignment="1" applyProtection="1">
      <alignment horizontal="center" vertical="center"/>
      <protection locked="0"/>
    </xf>
    <xf numFmtId="178" fontId="22" fillId="29" borderId="8" xfId="65" applyNumberFormat="1" applyFont="1" applyFill="1" applyBorder="1" applyAlignment="1" applyProtection="1">
      <alignment horizontal="center" vertical="center"/>
      <protection locked="0"/>
    </xf>
    <xf numFmtId="0" fontId="22" fillId="0" borderId="8" xfId="65" applyFont="1" applyBorder="1" applyAlignment="1" applyProtection="1">
      <alignment horizontal="left" vertical="center"/>
      <protection/>
    </xf>
    <xf numFmtId="0" fontId="22" fillId="0" borderId="8" xfId="65" applyFont="1" applyBorder="1" applyAlignment="1" applyProtection="1">
      <alignment horizontal="center" vertical="center" wrapText="1"/>
      <protection/>
    </xf>
    <xf numFmtId="2" fontId="22" fillId="29" borderId="8" xfId="65" applyNumberFormat="1" applyFont="1" applyFill="1" applyBorder="1" applyAlignment="1" applyProtection="1">
      <alignment horizontal="center" vertical="center" wrapText="1"/>
      <protection locked="0"/>
    </xf>
    <xf numFmtId="2" fontId="22" fillId="31" borderId="8" xfId="71" applyNumberFormat="1" applyFont="1" applyFill="1" applyBorder="1" applyAlignment="1" applyProtection="1">
      <alignment horizontal="center" vertical="center" wrapText="1"/>
      <protection/>
    </xf>
    <xf numFmtId="0" fontId="18" fillId="0" borderId="8" xfId="65" applyFont="1" applyBorder="1" applyAlignment="1" applyProtection="1">
      <alignment horizontal="center" vertical="center" wrapText="1"/>
      <protection/>
    </xf>
    <xf numFmtId="177" fontId="22" fillId="31" borderId="8" xfId="65" applyNumberFormat="1" applyFont="1" applyFill="1" applyBorder="1" applyAlignment="1" applyProtection="1">
      <alignment horizontal="centerContinuous" vertical="center" wrapText="1"/>
      <protection/>
    </xf>
    <xf numFmtId="0" fontId="4" fillId="0" borderId="0" xfId="65" applyBorder="1">
      <alignment/>
      <protection/>
    </xf>
    <xf numFmtId="49" fontId="22" fillId="0" borderId="8" xfId="55" applyNumberFormat="1" applyFont="1" applyBorder="1" applyAlignment="1" applyProtection="1">
      <alignment horizontal="center" vertical="center" wrapText="1"/>
      <protection/>
    </xf>
    <xf numFmtId="0" fontId="22" fillId="0" borderId="8" xfId="55" applyFont="1" applyBorder="1" applyAlignment="1" applyProtection="1">
      <alignment horizontal="center" vertical="center" wrapText="1"/>
      <protection/>
    </xf>
    <xf numFmtId="49" fontId="0" fillId="0" borderId="8" xfId="65" applyNumberFormat="1" applyFont="1" applyFill="1" applyBorder="1" applyAlignment="1" applyProtection="1">
      <alignment horizontal="right" vertical="center"/>
      <protection/>
    </xf>
    <xf numFmtId="0" fontId="18" fillId="0" borderId="8" xfId="65" applyFont="1" applyFill="1" applyBorder="1" applyAlignment="1" applyProtection="1">
      <alignment horizontal="center" vertical="center" wrapText="1"/>
      <protection/>
    </xf>
    <xf numFmtId="0" fontId="0" fillId="0" borderId="8" xfId="65" applyFont="1" applyFill="1" applyBorder="1" applyAlignment="1" applyProtection="1">
      <alignment horizontal="center" vertical="center" wrapText="1"/>
      <protection/>
    </xf>
    <xf numFmtId="49" fontId="43" fillId="0" borderId="8" xfId="65" applyNumberFormat="1" applyFont="1" applyFill="1" applyBorder="1" applyAlignment="1" applyProtection="1">
      <alignment horizontal="right" vertical="center"/>
      <protection/>
    </xf>
    <xf numFmtId="0" fontId="22" fillId="0" borderId="8" xfId="65" applyFont="1" applyFill="1" applyBorder="1" applyAlignment="1" applyProtection="1">
      <alignment vertical="center" wrapText="1"/>
      <protection/>
    </xf>
    <xf numFmtId="0" fontId="22" fillId="0" borderId="8" xfId="65" applyFont="1" applyFill="1" applyBorder="1" applyAlignment="1" applyProtection="1">
      <alignment horizontal="center" vertical="center" wrapText="1"/>
      <protection/>
    </xf>
    <xf numFmtId="0" fontId="15" fillId="0" borderId="8" xfId="65" applyFont="1" applyBorder="1" applyAlignment="1" applyProtection="1">
      <alignment horizontal="center" vertical="center" wrapText="1"/>
      <protection/>
    </xf>
    <xf numFmtId="49" fontId="0" fillId="0" borderId="8" xfId="55" applyNumberFormat="1" applyFont="1" applyFill="1" applyBorder="1" applyAlignment="1" applyProtection="1">
      <alignment horizontal="right" vertical="center" wrapText="1"/>
      <protection/>
    </xf>
    <xf numFmtId="0" fontId="18" fillId="0" borderId="8" xfId="55" applyFont="1" applyFill="1" applyBorder="1" applyAlignment="1" applyProtection="1">
      <alignment horizontal="center" vertical="center" wrapText="1"/>
      <protection/>
    </xf>
    <xf numFmtId="182" fontId="18" fillId="29" borderId="8" xfId="55" applyNumberFormat="1" applyFont="1" applyFill="1" applyBorder="1" applyAlignment="1" applyProtection="1">
      <alignment horizontal="right" vertical="center" wrapText="1"/>
      <protection locked="0"/>
    </xf>
    <xf numFmtId="0" fontId="46" fillId="0" borderId="42" xfId="65" applyFont="1" applyFill="1" applyBorder="1" applyAlignment="1" applyProtection="1">
      <alignment horizontal="centerContinuous" vertical="top" wrapText="1"/>
      <protection/>
    </xf>
    <xf numFmtId="49" fontId="15" fillId="0" borderId="8" xfId="55" applyNumberFormat="1" applyFont="1" applyFill="1" applyBorder="1" applyAlignment="1" applyProtection="1">
      <alignment horizontal="right" vertical="center" wrapText="1"/>
      <protection/>
    </xf>
    <xf numFmtId="0" fontId="22" fillId="0" borderId="8" xfId="55" applyFont="1" applyFill="1" applyBorder="1" applyAlignment="1" applyProtection="1">
      <alignment horizontal="left" vertical="center" wrapText="1"/>
      <protection/>
    </xf>
    <xf numFmtId="0" fontId="22" fillId="0" borderId="8" xfId="55" applyFont="1" applyFill="1" applyBorder="1" applyAlignment="1" applyProtection="1">
      <alignment horizontal="center" vertical="center" wrapText="1"/>
      <protection/>
    </xf>
    <xf numFmtId="0" fontId="56" fillId="0" borderId="0" xfId="65" applyFont="1">
      <alignment/>
      <protection/>
    </xf>
    <xf numFmtId="0" fontId="56" fillId="0" borderId="0" xfId="65" applyFont="1" applyBorder="1">
      <alignment/>
      <protection/>
    </xf>
    <xf numFmtId="0" fontId="56" fillId="0" borderId="39" xfId="65" applyFont="1" applyBorder="1">
      <alignment/>
      <protection/>
    </xf>
    <xf numFmtId="49" fontId="0" fillId="0" borderId="8" xfId="65" applyNumberFormat="1" applyFont="1" applyFill="1" applyBorder="1" applyAlignment="1" applyProtection="1">
      <alignment horizontal="right"/>
      <protection/>
    </xf>
    <xf numFmtId="0" fontId="18" fillId="0" borderId="8" xfId="65" applyFont="1" applyFill="1" applyBorder="1" applyAlignment="1" applyProtection="1">
      <alignment horizontal="center" vertical="top" wrapText="1"/>
      <protection/>
    </xf>
    <xf numFmtId="49" fontId="22" fillId="0" borderId="8" xfId="65" applyNumberFormat="1" applyFont="1" applyFill="1" applyBorder="1" applyAlignment="1" applyProtection="1">
      <alignment horizontal="right" vertical="center"/>
      <protection/>
    </xf>
    <xf numFmtId="4" fontId="18" fillId="31" borderId="8" xfId="81" applyNumberFormat="1" applyFont="1" applyFill="1" applyBorder="1" applyAlignment="1" applyProtection="1">
      <alignment horizontal="right" vertical="center"/>
      <protection/>
    </xf>
    <xf numFmtId="4" fontId="0" fillId="29" borderId="8" xfId="81" applyNumberFormat="1" applyFont="1" applyFill="1" applyBorder="1" applyAlignment="1" applyProtection="1">
      <alignment horizontal="right" vertical="center"/>
      <protection locked="0"/>
    </xf>
    <xf numFmtId="4" fontId="0" fillId="31" borderId="8" xfId="81" applyNumberFormat="1" applyFont="1" applyFill="1" applyBorder="1" applyAlignment="1" applyProtection="1">
      <alignment horizontal="right" vertical="center"/>
      <protection/>
    </xf>
    <xf numFmtId="4" fontId="18" fillId="29" borderId="8" xfId="81" applyNumberFormat="1" applyFont="1" applyFill="1" applyBorder="1" applyAlignment="1" applyProtection="1">
      <alignment horizontal="right" vertical="center"/>
      <protection locked="0"/>
    </xf>
    <xf numFmtId="4" fontId="15" fillId="31" borderId="8" xfId="81" applyNumberFormat="1" applyFont="1" applyFill="1" applyBorder="1" applyAlignment="1" applyProtection="1">
      <alignment horizontal="right" vertical="center"/>
      <protection/>
    </xf>
    <xf numFmtId="49" fontId="0" fillId="0" borderId="8" xfId="55" applyNumberFormat="1" applyFont="1" applyFill="1" applyBorder="1" applyAlignment="1" applyProtection="1">
      <alignment horizontal="right" vertical="center" wrapText="1"/>
      <protection/>
    </xf>
    <xf numFmtId="49" fontId="0" fillId="0" borderId="8" xfId="65" applyNumberFormat="1" applyFont="1" applyFill="1" applyBorder="1" applyAlignment="1" applyProtection="1">
      <alignment horizontal="right" vertical="center"/>
      <protection/>
    </xf>
    <xf numFmtId="49" fontId="0" fillId="0" borderId="8" xfId="65" applyNumberFormat="1" applyFont="1" applyFill="1" applyBorder="1" applyAlignment="1" applyProtection="1">
      <alignment horizontal="right"/>
      <protection/>
    </xf>
    <xf numFmtId="4" fontId="18" fillId="29" borderId="8" xfId="55" applyNumberFormat="1" applyFont="1" applyFill="1" applyBorder="1" applyAlignment="1" applyProtection="1">
      <alignment horizontal="right" vertical="center" wrapText="1"/>
      <protection locked="0"/>
    </xf>
    <xf numFmtId="4" fontId="0" fillId="29" borderId="8" xfId="81" applyNumberFormat="1" applyFont="1" applyFill="1" applyBorder="1" applyProtection="1">
      <alignment horizontal="right"/>
      <protection locked="0"/>
    </xf>
    <xf numFmtId="4" fontId="18" fillId="31" borderId="8" xfId="80" applyNumberFormat="1" applyFont="1" applyFill="1" applyBorder="1" applyProtection="1">
      <alignment horizontal="right"/>
      <protection/>
    </xf>
    <xf numFmtId="4" fontId="0" fillId="29" borderId="8" xfId="80" applyNumberFormat="1" applyFont="1" applyFill="1" applyBorder="1" applyProtection="1">
      <alignment horizontal="right"/>
      <protection locked="0"/>
    </xf>
    <xf numFmtId="4" fontId="0" fillId="29" borderId="8" xfId="80" applyNumberFormat="1" applyFont="1" applyFill="1" applyBorder="1" applyProtection="1">
      <alignment horizontal="right"/>
      <protection/>
    </xf>
    <xf numFmtId="4" fontId="22" fillId="31" borderId="8" xfId="55" applyNumberFormat="1" applyFont="1" applyFill="1" applyBorder="1" applyAlignment="1" applyProtection="1">
      <alignment horizontal="right" vertical="center" wrapText="1"/>
      <protection/>
    </xf>
    <xf numFmtId="4" fontId="0" fillId="29" borderId="43" xfId="57" applyBorder="1" applyProtection="1">
      <alignment horizontal="right"/>
      <protection locked="0"/>
    </xf>
    <xf numFmtId="181" fontId="0" fillId="29" borderId="8" xfId="57" applyNumberFormat="1" applyBorder="1" applyAlignment="1" applyProtection="1">
      <alignment horizontal="right" vertical="center"/>
      <protection locked="0"/>
    </xf>
    <xf numFmtId="181" fontId="0" fillId="29" borderId="16" xfId="57" applyNumberFormat="1" applyBorder="1" applyAlignment="1" applyProtection="1">
      <alignment horizontal="right" vertical="center"/>
      <protection locked="0"/>
    </xf>
    <xf numFmtId="222" fontId="0" fillId="29" borderId="8" xfId="57" applyNumberFormat="1" applyBorder="1" applyAlignment="1" applyProtection="1">
      <alignment horizontal="right" vertical="center"/>
      <protection locked="0"/>
    </xf>
    <xf numFmtId="222" fontId="0" fillId="29" borderId="16" xfId="57" applyNumberFormat="1" applyBorder="1" applyAlignment="1" applyProtection="1">
      <alignment horizontal="right" vertical="center"/>
      <protection locked="0"/>
    </xf>
    <xf numFmtId="223" fontId="0" fillId="29" borderId="8" xfId="57" applyNumberFormat="1" applyBorder="1" applyAlignment="1" applyProtection="1">
      <alignment horizontal="right" vertical="center"/>
      <protection locked="0"/>
    </xf>
    <xf numFmtId="223" fontId="0" fillId="29" borderId="16" xfId="57" applyNumberFormat="1" applyBorder="1" applyAlignment="1" applyProtection="1">
      <alignment horizontal="right" vertical="center"/>
      <protection locked="0"/>
    </xf>
    <xf numFmtId="187" fontId="0" fillId="29" borderId="8" xfId="57" applyNumberFormat="1" applyBorder="1" applyAlignment="1" applyProtection="1">
      <alignment horizontal="right" vertical="center"/>
      <protection locked="0"/>
    </xf>
    <xf numFmtId="187" fontId="0" fillId="29" borderId="16" xfId="57" applyNumberFormat="1" applyBorder="1" applyAlignment="1" applyProtection="1">
      <alignment horizontal="right" vertical="center"/>
      <protection locked="0"/>
    </xf>
    <xf numFmtId="2" fontId="0" fillId="29" borderId="14" xfId="57" applyNumberFormat="1" applyBorder="1" applyAlignment="1" applyProtection="1">
      <alignment horizontal="right" vertical="center"/>
      <protection locked="0"/>
    </xf>
    <xf numFmtId="181" fontId="0" fillId="29" borderId="8" xfId="57" applyNumberFormat="1" applyFont="1" applyBorder="1" applyAlignment="1" applyProtection="1">
      <alignment horizontal="right" vertical="center"/>
      <protection locked="0"/>
    </xf>
    <xf numFmtId="188" fontId="0" fillId="29" borderId="8" xfId="0" applyNumberFormat="1" applyFill="1" applyBorder="1" applyAlignment="1" applyProtection="1">
      <alignment vertical="top"/>
      <protection locked="0"/>
    </xf>
    <xf numFmtId="188" fontId="0" fillId="29" borderId="16" xfId="0" applyNumberFormat="1" applyFill="1" applyBorder="1" applyAlignment="1" applyProtection="1">
      <alignment vertical="top"/>
      <protection locked="0"/>
    </xf>
    <xf numFmtId="188" fontId="0" fillId="29" borderId="8" xfId="57" applyNumberFormat="1" applyBorder="1" applyProtection="1">
      <alignment horizontal="right"/>
      <protection locked="0"/>
    </xf>
    <xf numFmtId="188" fontId="0" fillId="29" borderId="16" xfId="57" applyNumberFormat="1" applyBorder="1" applyProtection="1">
      <alignment horizontal="right"/>
      <protection locked="0"/>
    </xf>
    <xf numFmtId="188" fontId="0" fillId="29" borderId="8" xfId="57" applyNumberFormat="1" applyFont="1" applyBorder="1" applyProtection="1">
      <alignment horizontal="right"/>
      <protection locked="0"/>
    </xf>
    <xf numFmtId="188" fontId="0" fillId="29" borderId="16" xfId="57" applyNumberFormat="1" applyFont="1" applyBorder="1" applyProtection="1">
      <alignment horizontal="right"/>
      <protection locked="0"/>
    </xf>
    <xf numFmtId="180" fontId="0" fillId="29" borderId="8" xfId="0" applyNumberFormat="1" applyFill="1" applyBorder="1" applyAlignment="1">
      <alignment vertical="top"/>
    </xf>
    <xf numFmtId="180" fontId="0" fillId="29" borderId="16" xfId="0" applyNumberFormat="1" applyFill="1" applyBorder="1" applyAlignment="1">
      <alignment vertical="top"/>
    </xf>
    <xf numFmtId="180" fontId="0" fillId="29" borderId="8" xfId="57" applyNumberFormat="1" applyBorder="1">
      <alignment horizontal="right"/>
      <protection/>
    </xf>
    <xf numFmtId="180" fontId="0" fillId="29" borderId="16" xfId="57" applyNumberFormat="1" applyBorder="1">
      <alignment horizontal="right"/>
      <protection/>
    </xf>
    <xf numFmtId="180" fontId="0" fillId="29" borderId="8" xfId="80" applyNumberFormat="1" applyFont="1" applyFill="1" applyBorder="1">
      <alignment horizontal="right"/>
      <protection/>
    </xf>
    <xf numFmtId="180" fontId="0" fillId="29" borderId="16" xfId="80" applyNumberFormat="1" applyFont="1" applyFill="1" applyBorder="1">
      <alignment horizontal="right"/>
      <protection/>
    </xf>
    <xf numFmtId="180" fontId="0" fillId="29" borderId="8" xfId="57" applyNumberFormat="1" applyFont="1" applyBorder="1" applyProtection="1">
      <alignment horizontal="right"/>
      <protection locked="0"/>
    </xf>
    <xf numFmtId="222" fontId="50" fillId="0" borderId="8" xfId="65" applyNumberFormat="1" applyFont="1" applyBorder="1" applyAlignment="1">
      <alignment horizontal="center"/>
      <protection/>
    </xf>
    <xf numFmtId="1" fontId="50" fillId="0" borderId="8" xfId="65" applyNumberFormat="1" applyFont="1" applyBorder="1" applyAlignment="1">
      <alignment horizontal="center"/>
      <protection/>
    </xf>
    <xf numFmtId="2" fontId="50" fillId="0" borderId="8" xfId="65" applyNumberFormat="1" applyFont="1" applyBorder="1" applyAlignment="1">
      <alignment horizontal="center"/>
      <protection/>
    </xf>
    <xf numFmtId="4" fontId="0" fillId="46" borderId="43" xfId="57" applyFont="1" applyFill="1" applyBorder="1" applyProtection="1">
      <alignment horizontal="right"/>
      <protection locked="0"/>
    </xf>
    <xf numFmtId="4" fontId="0" fillId="46" borderId="44" xfId="57" applyFont="1" applyFill="1" applyBorder="1" applyProtection="1">
      <alignment horizontal="right"/>
      <protection locked="0"/>
    </xf>
    <xf numFmtId="0" fontId="15" fillId="0" borderId="33" xfId="55" applyBorder="1" applyAlignment="1" applyProtection="1">
      <alignment horizontal="center" vertical="center" wrapText="1"/>
      <protection locked="0"/>
    </xf>
    <xf numFmtId="0" fontId="15" fillId="0" borderId="45" xfId="55" applyBorder="1" applyAlignment="1" applyProtection="1">
      <alignment horizontal="center" vertical="center" wrapText="1"/>
      <protection locked="0"/>
    </xf>
    <xf numFmtId="0" fontId="15" fillId="0" borderId="46" xfId="55" applyBorder="1" applyAlignment="1" applyProtection="1">
      <alignment horizontal="center" vertical="center" wrapText="1"/>
      <protection locked="0"/>
    </xf>
    <xf numFmtId="49" fontId="15" fillId="0" borderId="20" xfId="0" applyFont="1" applyBorder="1" applyAlignment="1" applyProtection="1">
      <alignment vertical="top"/>
      <protection locked="0"/>
    </xf>
    <xf numFmtId="49" fontId="15" fillId="0" borderId="21" xfId="0" applyFont="1" applyBorder="1" applyAlignment="1" applyProtection="1">
      <alignment vertical="top"/>
      <protection locked="0"/>
    </xf>
    <xf numFmtId="49" fontId="15" fillId="0" borderId="18" xfId="0" applyFont="1" applyBorder="1" applyAlignment="1" applyProtection="1">
      <alignment vertical="top"/>
      <protection locked="0"/>
    </xf>
    <xf numFmtId="49" fontId="15" fillId="0" borderId="19" xfId="0" applyFont="1" applyBorder="1" applyAlignment="1" applyProtection="1">
      <alignment vertical="top"/>
      <protection locked="0"/>
    </xf>
    <xf numFmtId="49" fontId="0" fillId="29" borderId="47" xfId="0" applyFill="1" applyBorder="1" applyAlignment="1" applyProtection="1">
      <alignment horizontal="center" vertical="center"/>
      <protection locked="0"/>
    </xf>
    <xf numFmtId="49" fontId="0" fillId="29" borderId="48" xfId="0" applyFill="1" applyBorder="1" applyAlignment="1" applyProtection="1">
      <alignment horizontal="center" vertical="center"/>
      <protection locked="0"/>
    </xf>
    <xf numFmtId="49" fontId="0" fillId="29" borderId="49" xfId="0" applyFill="1" applyBorder="1" applyAlignment="1" applyProtection="1">
      <alignment horizontal="center" vertical="center"/>
      <protection locked="0"/>
    </xf>
    <xf numFmtId="49" fontId="0" fillId="29" borderId="50" xfId="0" applyFill="1" applyBorder="1" applyAlignment="1" applyProtection="1">
      <alignment horizontal="center" vertical="center"/>
      <protection locked="0"/>
    </xf>
    <xf numFmtId="49" fontId="0" fillId="29" borderId="41" xfId="0" applyFill="1" applyBorder="1" applyAlignment="1" applyProtection="1">
      <alignment horizontal="center" vertical="center"/>
      <protection locked="0"/>
    </xf>
    <xf numFmtId="49" fontId="0" fillId="29" borderId="51" xfId="0" applyFill="1" applyBorder="1" applyAlignment="1" applyProtection="1">
      <alignment horizontal="center" vertical="center"/>
      <protection locked="0"/>
    </xf>
    <xf numFmtId="49" fontId="33" fillId="31" borderId="47" xfId="0" applyFont="1" applyFill="1" applyBorder="1" applyAlignment="1">
      <alignment horizontal="center" vertical="center"/>
    </xf>
    <xf numFmtId="49" fontId="33" fillId="31" borderId="48" xfId="0" applyFont="1" applyFill="1" applyBorder="1" applyAlignment="1">
      <alignment horizontal="center" vertical="center"/>
    </xf>
    <xf numFmtId="49" fontId="33" fillId="31" borderId="49" xfId="0" applyFont="1" applyFill="1" applyBorder="1" applyAlignment="1">
      <alignment horizontal="center" vertical="center"/>
    </xf>
    <xf numFmtId="49" fontId="33" fillId="31" borderId="50" xfId="0" applyFont="1" applyFill="1" applyBorder="1" applyAlignment="1">
      <alignment horizontal="center" vertical="center"/>
    </xf>
    <xf numFmtId="49" fontId="33" fillId="31" borderId="41" xfId="0" applyFont="1" applyFill="1" applyBorder="1" applyAlignment="1">
      <alignment horizontal="center" vertical="center"/>
    </xf>
    <xf numFmtId="49" fontId="33" fillId="31" borderId="51" xfId="0" applyFont="1" applyFill="1" applyBorder="1" applyAlignment="1">
      <alignment horizontal="center" vertical="center"/>
    </xf>
    <xf numFmtId="49" fontId="33" fillId="42" borderId="47" xfId="0" applyFont="1" applyFill="1" applyBorder="1" applyAlignment="1">
      <alignment horizontal="center" vertical="center"/>
    </xf>
    <xf numFmtId="49" fontId="33" fillId="42" borderId="48" xfId="0" applyFont="1" applyFill="1" applyBorder="1" applyAlignment="1">
      <alignment horizontal="center" vertical="center"/>
    </xf>
    <xf numFmtId="49" fontId="33" fillId="42" borderId="49" xfId="0" applyFont="1" applyFill="1" applyBorder="1" applyAlignment="1">
      <alignment horizontal="center" vertical="center"/>
    </xf>
    <xf numFmtId="49" fontId="33" fillId="42" borderId="50" xfId="0" applyFont="1" applyFill="1" applyBorder="1" applyAlignment="1">
      <alignment horizontal="center" vertical="center"/>
    </xf>
    <xf numFmtId="49" fontId="33" fillId="42" borderId="41" xfId="0" applyFont="1" applyFill="1" applyBorder="1" applyAlignment="1">
      <alignment horizontal="center" vertical="center"/>
    </xf>
    <xf numFmtId="49" fontId="33" fillId="42" borderId="51" xfId="0" applyFont="1" applyFill="1" applyBorder="1" applyAlignment="1">
      <alignment horizontal="center" vertical="center"/>
    </xf>
    <xf numFmtId="49" fontId="0" fillId="0" borderId="0" xfId="0" applyFill="1" applyBorder="1" applyAlignment="1" applyProtection="1">
      <alignment horizontal="center" vertical="top"/>
      <protection locked="0"/>
    </xf>
    <xf numFmtId="49" fontId="15" fillId="31" borderId="47" xfId="0" applyFont="1" applyFill="1" applyBorder="1" applyAlignment="1">
      <alignment horizontal="center" vertical="center"/>
    </xf>
    <xf numFmtId="49" fontId="15" fillId="31" borderId="48" xfId="0" applyFont="1" applyFill="1" applyBorder="1" applyAlignment="1">
      <alignment horizontal="center" vertical="center"/>
    </xf>
    <xf numFmtId="49" fontId="15" fillId="31" borderId="49" xfId="0" applyFont="1" applyFill="1" applyBorder="1" applyAlignment="1">
      <alignment horizontal="center" vertical="center"/>
    </xf>
    <xf numFmtId="49" fontId="15" fillId="31" borderId="50" xfId="0" applyFont="1" applyFill="1" applyBorder="1" applyAlignment="1">
      <alignment horizontal="center" vertical="center"/>
    </xf>
    <xf numFmtId="49" fontId="15" fillId="31" borderId="41" xfId="0" applyFont="1" applyFill="1" applyBorder="1" applyAlignment="1">
      <alignment horizontal="center" vertical="center"/>
    </xf>
    <xf numFmtId="49" fontId="15" fillId="31" borderId="51" xfId="0" applyFont="1" applyFill="1" applyBorder="1" applyAlignment="1">
      <alignment horizontal="center" vertical="center"/>
    </xf>
    <xf numFmtId="49" fontId="0" fillId="29" borderId="47" xfId="0" applyFill="1" applyBorder="1" applyAlignment="1" applyProtection="1">
      <alignment horizontal="center" vertical="center" wrapText="1"/>
      <protection locked="0"/>
    </xf>
    <xf numFmtId="49" fontId="0" fillId="29" borderId="48" xfId="0" applyFill="1" applyBorder="1" applyAlignment="1" applyProtection="1">
      <alignment horizontal="center" vertical="center" wrapText="1"/>
      <protection locked="0"/>
    </xf>
    <xf numFmtId="49" fontId="0" fillId="29" borderId="49" xfId="0" applyFill="1" applyBorder="1" applyAlignment="1" applyProtection="1">
      <alignment horizontal="center" vertical="center" wrapText="1"/>
      <protection locked="0"/>
    </xf>
    <xf numFmtId="49" fontId="0" fillId="29" borderId="50" xfId="0" applyFill="1" applyBorder="1" applyAlignment="1" applyProtection="1">
      <alignment horizontal="center" vertical="center" wrapText="1"/>
      <protection locked="0"/>
    </xf>
    <xf numFmtId="49" fontId="0" fillId="29" borderId="41" xfId="0" applyFill="1" applyBorder="1" applyAlignment="1" applyProtection="1">
      <alignment horizontal="center" vertical="center" wrapText="1"/>
      <protection locked="0"/>
    </xf>
    <xf numFmtId="49" fontId="0" fillId="29" borderId="51" xfId="0" applyFill="1" applyBorder="1" applyAlignment="1" applyProtection="1">
      <alignment horizontal="center" vertical="center" wrapText="1"/>
      <protection locked="0"/>
    </xf>
    <xf numFmtId="49" fontId="0" fillId="29" borderId="47" xfId="0" applyNumberFormat="1" applyFill="1" applyBorder="1" applyAlignment="1" applyProtection="1">
      <alignment horizontal="center" vertical="center"/>
      <protection locked="0"/>
    </xf>
    <xf numFmtId="0" fontId="0" fillId="29" borderId="48" xfId="0" applyNumberFormat="1" applyFill="1" applyBorder="1" applyAlignment="1" applyProtection="1">
      <alignment horizontal="center" vertical="center"/>
      <protection locked="0"/>
    </xf>
    <xf numFmtId="0" fontId="0" fillId="29" borderId="49" xfId="0" applyNumberFormat="1" applyFill="1" applyBorder="1" applyAlignment="1" applyProtection="1">
      <alignment horizontal="center" vertical="center"/>
      <protection locked="0"/>
    </xf>
    <xf numFmtId="0" fontId="0" fillId="29" borderId="50" xfId="0" applyNumberFormat="1" applyFill="1" applyBorder="1" applyAlignment="1" applyProtection="1">
      <alignment horizontal="center" vertical="center"/>
      <protection locked="0"/>
    </xf>
    <xf numFmtId="0" fontId="0" fillId="29" borderId="41" xfId="0" applyNumberFormat="1" applyFill="1" applyBorder="1" applyAlignment="1" applyProtection="1">
      <alignment horizontal="center" vertical="center"/>
      <protection locked="0"/>
    </xf>
    <xf numFmtId="0" fontId="0" fillId="29" borderId="51" xfId="0" applyNumberFormat="1" applyFill="1" applyBorder="1" applyAlignment="1" applyProtection="1">
      <alignment horizontal="center" vertical="center"/>
      <protection locked="0"/>
    </xf>
    <xf numFmtId="49" fontId="0" fillId="29" borderId="49" xfId="0" applyNumberFormat="1" applyFill="1" applyBorder="1" applyAlignment="1" applyProtection="1">
      <alignment horizontal="center" vertical="center"/>
      <protection locked="0"/>
    </xf>
    <xf numFmtId="49" fontId="0" fillId="29" borderId="50" xfId="0" applyNumberFormat="1" applyFill="1" applyBorder="1" applyAlignment="1" applyProtection="1">
      <alignment horizontal="center" vertical="center"/>
      <protection locked="0"/>
    </xf>
    <xf numFmtId="49" fontId="0" fillId="29" borderId="51" xfId="0" applyNumberFormat="1" applyFill="1" applyBorder="1" applyAlignment="1" applyProtection="1">
      <alignment horizontal="center" vertical="center"/>
      <protection locked="0"/>
    </xf>
    <xf numFmtId="49" fontId="37" fillId="31" borderId="47" xfId="0" applyFont="1" applyFill="1" applyBorder="1" applyAlignment="1">
      <alignment horizontal="center" vertical="center"/>
    </xf>
    <xf numFmtId="49" fontId="37" fillId="31" borderId="48" xfId="0" applyFont="1" applyFill="1" applyBorder="1" applyAlignment="1">
      <alignment horizontal="center" vertical="center"/>
    </xf>
    <xf numFmtId="49" fontId="37" fillId="31" borderId="49" xfId="0" applyFont="1" applyFill="1" applyBorder="1" applyAlignment="1">
      <alignment horizontal="center" vertical="center"/>
    </xf>
    <xf numFmtId="49" fontId="37" fillId="31" borderId="50" xfId="0" applyFont="1" applyFill="1" applyBorder="1" applyAlignment="1">
      <alignment horizontal="center" vertical="center"/>
    </xf>
    <xf numFmtId="49" fontId="37" fillId="31" borderId="41" xfId="0" applyFont="1" applyFill="1" applyBorder="1" applyAlignment="1">
      <alignment horizontal="center" vertical="center"/>
    </xf>
    <xf numFmtId="49" fontId="37" fillId="31" borderId="51" xfId="0" applyFont="1" applyFill="1" applyBorder="1" applyAlignment="1">
      <alignment horizontal="center" vertical="center"/>
    </xf>
    <xf numFmtId="0" fontId="15" fillId="0" borderId="13" xfId="55" applyBorder="1">
      <alignment horizontal="center" vertical="center" wrapText="1"/>
      <protection/>
    </xf>
    <xf numFmtId="0" fontId="15" fillId="0" borderId="14" xfId="55" applyBorder="1">
      <alignment horizontal="center" vertical="center" wrapText="1"/>
      <protection/>
    </xf>
    <xf numFmtId="0" fontId="15" fillId="0" borderId="18" xfId="55" applyBorder="1">
      <alignment horizontal="center" vertical="center" wrapText="1"/>
      <protection/>
    </xf>
    <xf numFmtId="0" fontId="15" fillId="0" borderId="8" xfId="55" applyBorder="1">
      <alignment horizontal="center" vertical="center" wrapText="1"/>
      <protection/>
    </xf>
    <xf numFmtId="0" fontId="15" fillId="0" borderId="34" xfId="55" applyBorder="1">
      <alignment horizontal="center" vertical="center" wrapText="1"/>
      <protection/>
    </xf>
    <xf numFmtId="0" fontId="15" fillId="0" borderId="17" xfId="55" applyBorder="1">
      <alignment horizontal="center" vertical="center" wrapText="1"/>
      <protection/>
    </xf>
    <xf numFmtId="0" fontId="15" fillId="0" borderId="13" xfId="55" applyFont="1" applyBorder="1">
      <alignment horizontal="center" vertical="center" wrapText="1"/>
      <protection/>
    </xf>
    <xf numFmtId="0" fontId="15" fillId="0" borderId="19" xfId="55" applyBorder="1">
      <alignment horizontal="center" vertical="center" wrapText="1"/>
      <protection/>
    </xf>
    <xf numFmtId="0" fontId="15" fillId="6" borderId="13" xfId="55" applyFont="1" applyFill="1" applyBorder="1">
      <alignment horizontal="center" vertical="center" wrapText="1"/>
      <protection/>
    </xf>
    <xf numFmtId="0" fontId="15" fillId="6" borderId="18" xfId="55" applyFill="1" applyBorder="1">
      <alignment horizontal="center" vertical="center" wrapText="1"/>
      <protection/>
    </xf>
    <xf numFmtId="0" fontId="15" fillId="6" borderId="19" xfId="55" applyFill="1" applyBorder="1">
      <alignment horizontal="center" vertical="center" wrapText="1"/>
      <protection/>
    </xf>
    <xf numFmtId="0" fontId="15" fillId="0" borderId="52" xfId="55" applyFont="1" applyFill="1" applyBorder="1">
      <alignment horizontal="center" vertical="center" wrapText="1"/>
      <protection/>
    </xf>
    <xf numFmtId="0" fontId="15" fillId="0" borderId="18" xfId="55" applyFont="1" applyFill="1" applyBorder="1">
      <alignment horizontal="center" vertical="center" wrapText="1"/>
      <protection/>
    </xf>
    <xf numFmtId="0" fontId="15" fillId="0" borderId="19" xfId="55" applyFont="1" applyFill="1" applyBorder="1">
      <alignment horizontal="center" vertical="center" wrapText="1"/>
      <protection/>
    </xf>
    <xf numFmtId="0" fontId="9" fillId="0" borderId="0" xfId="50" applyAlignment="1">
      <alignment horizontal="center" vertical="center" wrapText="1"/>
      <protection/>
    </xf>
    <xf numFmtId="0" fontId="15" fillId="0" borderId="8" xfId="55" applyBorder="1" applyAlignment="1">
      <alignment horizontal="center" vertical="center" wrapText="1"/>
      <protection/>
    </xf>
    <xf numFmtId="0" fontId="15" fillId="0" borderId="17" xfId="55" applyBorder="1" applyAlignment="1">
      <alignment horizontal="center" vertical="center" wrapText="1"/>
      <protection/>
    </xf>
    <xf numFmtId="0" fontId="15" fillId="0" borderId="13" xfId="55" applyFont="1" applyFill="1" applyBorder="1" applyAlignment="1">
      <alignment horizontal="center" vertical="center" wrapText="1"/>
      <protection/>
    </xf>
    <xf numFmtId="0" fontId="15" fillId="0" borderId="18" xfId="55" applyFont="1" applyFill="1" applyBorder="1" applyAlignment="1">
      <alignment horizontal="center" vertical="center" wrapText="1"/>
      <protection/>
    </xf>
    <xf numFmtId="0" fontId="15" fillId="0" borderId="19" xfId="55" applyFont="1" applyFill="1" applyBorder="1" applyAlignment="1">
      <alignment horizontal="center" vertical="center" wrapText="1"/>
      <protection/>
    </xf>
    <xf numFmtId="0" fontId="15" fillId="6" borderId="34" xfId="55" applyFill="1" applyBorder="1">
      <alignment horizontal="center" vertical="center" wrapText="1"/>
      <protection/>
    </xf>
    <xf numFmtId="0" fontId="15" fillId="0" borderId="18" xfId="55" applyBorder="1" applyAlignment="1">
      <alignment horizontal="center" vertical="center" wrapText="1"/>
      <protection/>
    </xf>
    <xf numFmtId="0" fontId="15" fillId="0" borderId="52" xfId="55" applyFont="1" applyFill="1" applyBorder="1" applyAlignment="1">
      <alignment horizontal="center" vertical="center" wrapText="1"/>
      <protection/>
    </xf>
    <xf numFmtId="0" fontId="9" fillId="0" borderId="0" xfId="50" applyFont="1" applyAlignment="1">
      <alignment horizontal="center" vertical="center" wrapText="1"/>
      <protection/>
    </xf>
    <xf numFmtId="0" fontId="53" fillId="0" borderId="17" xfId="65" applyFont="1" applyBorder="1" applyAlignment="1">
      <alignment horizontal="center"/>
      <protection/>
    </xf>
    <xf numFmtId="0" fontId="53" fillId="0" borderId="53" xfId="65" applyFont="1" applyBorder="1" applyAlignment="1">
      <alignment horizontal="center"/>
      <protection/>
    </xf>
    <xf numFmtId="0" fontId="53" fillId="0" borderId="23" xfId="65" applyFont="1" applyBorder="1" applyAlignment="1">
      <alignment horizontal="center"/>
      <protection/>
    </xf>
    <xf numFmtId="0" fontId="50" fillId="0" borderId="26" xfId="65" applyFont="1" applyBorder="1" applyAlignment="1">
      <alignment horizontal="center" vertical="top" wrapText="1"/>
      <protection/>
    </xf>
    <xf numFmtId="0" fontId="50" fillId="0" borderId="29" xfId="65" applyFont="1" applyBorder="1" applyAlignment="1">
      <alignment horizontal="center" vertical="top"/>
      <protection/>
    </xf>
    <xf numFmtId="0" fontId="50" fillId="0" borderId="17" xfId="65" applyFont="1" applyBorder="1" applyAlignment="1">
      <alignment horizontal="center" vertical="top" wrapText="1"/>
      <protection/>
    </xf>
    <xf numFmtId="0" fontId="50" fillId="0" borderId="53" xfId="65" applyFont="1" applyBorder="1" applyAlignment="1">
      <alignment horizontal="center" vertical="top" wrapText="1"/>
      <protection/>
    </xf>
    <xf numFmtId="0" fontId="50" fillId="0" borderId="23" xfId="65" applyFont="1" applyBorder="1" applyAlignment="1">
      <alignment horizontal="center" vertical="top" wrapText="1"/>
      <protection/>
    </xf>
    <xf numFmtId="0" fontId="50" fillId="0" borderId="17" xfId="65" applyFont="1" applyBorder="1" applyAlignment="1">
      <alignment horizontal="center"/>
      <protection/>
    </xf>
    <xf numFmtId="0" fontId="50" fillId="0" borderId="23" xfId="65" applyFont="1" applyBorder="1" applyAlignment="1">
      <alignment horizontal="center"/>
      <protection/>
    </xf>
    <xf numFmtId="0" fontId="51" fillId="0" borderId="0" xfId="65" applyFont="1" applyAlignment="1">
      <alignment horizontal="center"/>
      <protection/>
    </xf>
    <xf numFmtId="0" fontId="50" fillId="0" borderId="33" xfId="65" applyFont="1" applyBorder="1" applyAlignment="1">
      <alignment horizontal="center" vertical="top" wrapText="1"/>
      <protection/>
    </xf>
    <xf numFmtId="0" fontId="50" fillId="0" borderId="46" xfId="65" applyFont="1" applyBorder="1" applyAlignment="1">
      <alignment horizontal="center" vertical="top" wrapText="1"/>
      <protection/>
    </xf>
    <xf numFmtId="0" fontId="50" fillId="0" borderId="32" xfId="65" applyFont="1" applyBorder="1" applyAlignment="1">
      <alignment horizontal="center" vertical="top" wrapText="1"/>
      <protection/>
    </xf>
    <xf numFmtId="0" fontId="50" fillId="0" borderId="38" xfId="65" applyFont="1" applyBorder="1" applyAlignment="1">
      <alignment horizontal="center" vertical="top" wrapText="1"/>
      <protection/>
    </xf>
    <xf numFmtId="0" fontId="47" fillId="0" borderId="0" xfId="0" applyNumberFormat="1" applyFont="1" applyAlignment="1">
      <alignment horizontal="center"/>
    </xf>
    <xf numFmtId="0" fontId="4" fillId="0" borderId="54" xfId="65" applyBorder="1" applyAlignment="1">
      <alignment horizontal="center" vertical="center"/>
      <protection/>
    </xf>
    <xf numFmtId="0" fontId="4" fillId="0" borderId="55" xfId="65" applyBorder="1" applyAlignment="1">
      <alignment horizontal="center" vertical="center"/>
      <protection/>
    </xf>
    <xf numFmtId="0" fontId="4" fillId="0" borderId="56" xfId="65" applyBorder="1" applyAlignment="1">
      <alignment horizontal="center" vertical="center"/>
      <protection/>
    </xf>
    <xf numFmtId="0" fontId="4" fillId="0" borderId="54" xfId="65" applyFont="1" applyBorder="1" applyAlignment="1">
      <alignment horizontal="center" vertical="center"/>
      <protection/>
    </xf>
    <xf numFmtId="0" fontId="4" fillId="0" borderId="55" xfId="65" applyFont="1" applyBorder="1" applyAlignment="1">
      <alignment horizontal="center" vertical="center"/>
      <protection/>
    </xf>
    <xf numFmtId="0" fontId="4" fillId="0" borderId="56" xfId="65" applyFont="1" applyBorder="1" applyAlignment="1">
      <alignment horizontal="center" vertical="center"/>
      <protection/>
    </xf>
    <xf numFmtId="0" fontId="1" fillId="0" borderId="13" xfId="65" applyFont="1" applyFill="1" applyBorder="1" applyAlignment="1">
      <alignment horizontal="center"/>
      <protection/>
    </xf>
    <xf numFmtId="0" fontId="1" fillId="0" borderId="18" xfId="65" applyFont="1" applyFill="1" applyBorder="1" applyAlignment="1">
      <alignment horizontal="center"/>
      <protection/>
    </xf>
    <xf numFmtId="0" fontId="1" fillId="0" borderId="19" xfId="65" applyFont="1" applyFill="1" applyBorder="1" applyAlignment="1">
      <alignment horizontal="center"/>
      <protection/>
    </xf>
    <xf numFmtId="0" fontId="21" fillId="0" borderId="41" xfId="50" applyFont="1" applyBorder="1" applyAlignment="1">
      <alignment horizontal="center" vertical="center" wrapText="1"/>
      <protection/>
    </xf>
    <xf numFmtId="0" fontId="22" fillId="0" borderId="18" xfId="55" applyFont="1" applyBorder="1">
      <alignment horizontal="center" vertical="center" wrapText="1"/>
      <protection/>
    </xf>
    <xf numFmtId="0" fontId="22" fillId="0" borderId="8" xfId="55" applyFont="1" applyBorder="1">
      <alignment horizontal="center" vertical="center" wrapText="1"/>
      <protection/>
    </xf>
    <xf numFmtId="0" fontId="22" fillId="0" borderId="19" xfId="55" applyFont="1" applyBorder="1">
      <alignment horizontal="center" vertical="center" wrapText="1"/>
      <protection/>
    </xf>
    <xf numFmtId="0" fontId="22" fillId="0" borderId="16" xfId="55" applyFont="1" applyBorder="1">
      <alignment horizontal="center" vertical="center" wrapText="1"/>
      <protection/>
    </xf>
    <xf numFmtId="0" fontId="22" fillId="0" borderId="13" xfId="55" applyFont="1" applyBorder="1">
      <alignment horizontal="center" vertical="center" wrapText="1"/>
      <protection/>
    </xf>
    <xf numFmtId="0" fontId="22" fillId="0" borderId="14" xfId="55" applyFont="1" applyBorder="1">
      <alignment horizontal="center" vertical="center" wrapText="1"/>
      <protection/>
    </xf>
    <xf numFmtId="0" fontId="22" fillId="0" borderId="18" xfId="55" applyFont="1" applyBorder="1" applyAlignment="1">
      <alignment horizontal="center" vertical="center" wrapText="1"/>
      <protection/>
    </xf>
    <xf numFmtId="0" fontId="22" fillId="0" borderId="8" xfId="55" applyFont="1" applyBorder="1" applyAlignment="1">
      <alignment horizontal="center" vertical="center" wrapText="1"/>
      <protection/>
    </xf>
    <xf numFmtId="0" fontId="22" fillId="0" borderId="57" xfId="55" applyFont="1" applyBorder="1" applyAlignment="1">
      <alignment horizontal="center" vertical="center" wrapText="1"/>
      <protection/>
    </xf>
    <xf numFmtId="49" fontId="0" fillId="0" borderId="36" xfId="0" applyBorder="1" applyAlignment="1">
      <alignment horizontal="center" vertical="center" wrapText="1"/>
    </xf>
    <xf numFmtId="49" fontId="0" fillId="0" borderId="32" xfId="0" applyBorder="1" applyAlignment="1">
      <alignment horizontal="center" vertical="center" wrapText="1"/>
    </xf>
    <xf numFmtId="49" fontId="0" fillId="0" borderId="38" xfId="0" applyBorder="1" applyAlignment="1">
      <alignment horizontal="center" vertical="center" wrapText="1"/>
    </xf>
    <xf numFmtId="0" fontId="37" fillId="0" borderId="0" xfId="65" applyFont="1" applyAlignment="1" applyProtection="1">
      <alignment horizontal="center"/>
      <protection/>
    </xf>
    <xf numFmtId="49" fontId="0" fillId="45" borderId="0" xfId="65" applyNumberFormat="1" applyFont="1" applyFill="1" applyBorder="1" applyAlignment="1" applyProtection="1">
      <alignment horizontal="center"/>
      <protection/>
    </xf>
    <xf numFmtId="0" fontId="0" fillId="45" borderId="0" xfId="65" applyFont="1" applyFill="1" applyBorder="1" applyAlignment="1" applyProtection="1">
      <alignment horizontal="center"/>
      <protection/>
    </xf>
    <xf numFmtId="0" fontId="46" fillId="45" borderId="58" xfId="65" applyFont="1" applyFill="1" applyBorder="1" applyAlignment="1" applyProtection="1">
      <alignment horizontal="center" vertical="top"/>
      <protection/>
    </xf>
    <xf numFmtId="0" fontId="46" fillId="45" borderId="39" xfId="65" applyFont="1" applyFill="1" applyBorder="1" applyAlignment="1" applyProtection="1">
      <alignment horizontal="center" vertical="top"/>
      <protection/>
    </xf>
    <xf numFmtId="0" fontId="46" fillId="45" borderId="42" xfId="65" applyFont="1" applyFill="1" applyBorder="1" applyAlignment="1" applyProtection="1">
      <alignment horizontal="center" vertical="top"/>
      <protection/>
    </xf>
    <xf numFmtId="0" fontId="46" fillId="45" borderId="0" xfId="65" applyFont="1" applyFill="1" applyBorder="1" applyAlignment="1" applyProtection="1">
      <alignment horizontal="center" vertical="top"/>
      <protection/>
    </xf>
    <xf numFmtId="0" fontId="46" fillId="0" borderId="42" xfId="65" applyFont="1" applyFill="1" applyBorder="1" applyAlignment="1" applyProtection="1">
      <alignment horizontal="center" vertical="top" wrapText="1"/>
      <protection/>
    </xf>
    <xf numFmtId="0" fontId="46" fillId="0" borderId="0" xfId="65" applyFont="1" applyFill="1" applyBorder="1" applyAlignment="1" applyProtection="1">
      <alignment horizontal="center" vertical="top" wrapText="1"/>
      <protection/>
    </xf>
    <xf numFmtId="0" fontId="22" fillId="0" borderId="19" xfId="55" applyFont="1" applyBorder="1" applyAlignment="1">
      <alignment horizontal="center" vertical="center" wrapText="1"/>
      <protection/>
    </xf>
    <xf numFmtId="0" fontId="22" fillId="0" borderId="16" xfId="55" applyFont="1" applyBorder="1" applyAlignment="1">
      <alignment horizontal="center" vertical="center" wrapText="1"/>
      <protection/>
    </xf>
    <xf numFmtId="0" fontId="32" fillId="0" borderId="57" xfId="66" applyFont="1" applyBorder="1" applyAlignment="1">
      <alignment horizontal="center" vertical="center" wrapText="1"/>
      <protection/>
    </xf>
    <xf numFmtId="0" fontId="32" fillId="0" borderId="48" xfId="66" applyFont="1" applyBorder="1" applyAlignment="1">
      <alignment horizontal="center" vertical="center" wrapText="1"/>
      <protection/>
    </xf>
    <xf numFmtId="0" fontId="32" fillId="0" borderId="36" xfId="66" applyFont="1" applyBorder="1" applyAlignment="1">
      <alignment horizontal="center" vertical="center" wrapText="1"/>
      <protection/>
    </xf>
    <xf numFmtId="0" fontId="32" fillId="0" borderId="8" xfId="66" applyFont="1" applyBorder="1" applyAlignment="1">
      <alignment horizontal="center" vertical="center" wrapText="1"/>
      <protection/>
    </xf>
    <xf numFmtId="0" fontId="32" fillId="0" borderId="17" xfId="66" applyFont="1" applyBorder="1" applyAlignment="1">
      <alignment horizontal="center" vertical="center" wrapText="1"/>
      <protection/>
    </xf>
    <xf numFmtId="0" fontId="32" fillId="0" borderId="53" xfId="66" applyFont="1" applyBorder="1" applyAlignment="1">
      <alignment horizontal="center" vertical="center" wrapText="1"/>
      <protection/>
    </xf>
    <xf numFmtId="0" fontId="32" fillId="0" borderId="23" xfId="66" applyFont="1" applyBorder="1" applyAlignment="1">
      <alignment horizontal="center" vertical="center" wrapText="1"/>
      <protection/>
    </xf>
    <xf numFmtId="0" fontId="32" fillId="0" borderId="33" xfId="66" applyFont="1" applyBorder="1" applyAlignment="1">
      <alignment horizontal="center" vertical="center" wrapText="1"/>
      <protection/>
    </xf>
    <xf numFmtId="0" fontId="32" fillId="0" borderId="45" xfId="66" applyFont="1" applyBorder="1" applyAlignment="1">
      <alignment horizontal="center" vertical="center" wrapText="1"/>
      <protection/>
    </xf>
    <xf numFmtId="0" fontId="32" fillId="0" borderId="46" xfId="66" applyFont="1" applyBorder="1" applyAlignment="1">
      <alignment horizontal="center" vertical="center" wrapText="1"/>
      <protection/>
    </xf>
    <xf numFmtId="0" fontId="32" fillId="0" borderId="32" xfId="66" applyFont="1" applyBorder="1" applyAlignment="1">
      <alignment horizontal="center" vertical="center" wrapText="1"/>
      <protection/>
    </xf>
    <xf numFmtId="0" fontId="32" fillId="0" borderId="39" xfId="66" applyFont="1" applyBorder="1" applyAlignment="1">
      <alignment horizontal="center" vertical="center" wrapText="1"/>
      <protection/>
    </xf>
    <xf numFmtId="0" fontId="32" fillId="0" borderId="38" xfId="66" applyFont="1" applyBorder="1" applyAlignment="1">
      <alignment horizontal="center" vertical="center" wrapText="1"/>
      <protection/>
    </xf>
    <xf numFmtId="0" fontId="32" fillId="0" borderId="17" xfId="66" applyFont="1" applyBorder="1" applyAlignment="1">
      <alignment horizontal="center" wrapText="1"/>
      <protection/>
    </xf>
    <xf numFmtId="0" fontId="32" fillId="0" borderId="53" xfId="66" applyFont="1" applyBorder="1" applyAlignment="1">
      <alignment horizontal="center" wrapText="1"/>
      <protection/>
    </xf>
    <xf numFmtId="0" fontId="32" fillId="0" borderId="23" xfId="66" applyFont="1" applyBorder="1" applyAlignment="1">
      <alignment horizontal="center" wrapText="1"/>
      <protection/>
    </xf>
    <xf numFmtId="0" fontId="32" fillId="0" borderId="20" xfId="66" applyFont="1" applyBorder="1" applyAlignment="1">
      <alignment horizontal="center" vertical="center" wrapText="1"/>
      <protection/>
    </xf>
    <xf numFmtId="0" fontId="32" fillId="0" borderId="7" xfId="66" applyFont="1" applyBorder="1" applyAlignment="1">
      <alignment horizontal="center" vertical="center" wrapText="1"/>
      <protection/>
    </xf>
    <xf numFmtId="0" fontId="32" fillId="0" borderId="24" xfId="66" applyFont="1" applyBorder="1" applyAlignment="1">
      <alignment horizontal="center" vertical="center" wrapText="1"/>
      <protection/>
    </xf>
    <xf numFmtId="0" fontId="32" fillId="0" borderId="59" xfId="66" applyFont="1" applyBorder="1" applyAlignment="1">
      <alignment horizontal="center" vertical="center" wrapText="1"/>
      <protection/>
    </xf>
    <xf numFmtId="0" fontId="32" fillId="0" borderId="60" xfId="66" applyFont="1" applyBorder="1" applyAlignment="1">
      <alignment horizontal="center" vertical="center" wrapText="1"/>
      <protection/>
    </xf>
    <xf numFmtId="0" fontId="32" fillId="0" borderId="30" xfId="66" applyFont="1" applyBorder="1" applyAlignment="1">
      <alignment horizontal="center" vertical="center" wrapText="1"/>
      <protection/>
    </xf>
    <xf numFmtId="0" fontId="32" fillId="0" borderId="61" xfId="66" applyFont="1" applyBorder="1" applyAlignment="1">
      <alignment horizontal="center" vertical="center" wrapText="1"/>
      <protection/>
    </xf>
    <xf numFmtId="49" fontId="17" fillId="42" borderId="62" xfId="47" applyNumberFormat="1" applyFill="1" applyBorder="1" applyAlignment="1" applyProtection="1">
      <alignment horizontal="left" vertical="top"/>
      <protection/>
    </xf>
    <xf numFmtId="49" fontId="17" fillId="42" borderId="63" xfId="47" applyNumberFormat="1" applyFill="1" applyBorder="1" applyAlignment="1" applyProtection="1">
      <alignment horizontal="left" vertical="top"/>
      <protection/>
    </xf>
    <xf numFmtId="49" fontId="17" fillId="42" borderId="64" xfId="47" applyNumberFormat="1" applyFill="1" applyBorder="1" applyAlignment="1" applyProtection="1">
      <alignment horizontal="left" vertical="top"/>
      <protection/>
    </xf>
    <xf numFmtId="49" fontId="17" fillId="42" borderId="65" xfId="47" applyNumberFormat="1" applyFont="1" applyFill="1" applyBorder="1" applyAlignment="1" applyProtection="1">
      <alignment horizontal="left" wrapText="1"/>
      <protection/>
    </xf>
    <xf numFmtId="49" fontId="17" fillId="42" borderId="66" xfId="47" applyNumberFormat="1" applyFill="1" applyBorder="1" applyAlignment="1" applyProtection="1">
      <alignment horizontal="left" wrapText="1"/>
      <protection/>
    </xf>
    <xf numFmtId="49" fontId="17" fillId="42" borderId="41" xfId="47" applyNumberFormat="1" applyFill="1" applyBorder="1" applyAlignment="1" applyProtection="1">
      <alignment horizontal="left" wrapText="1"/>
      <protection/>
    </xf>
    <xf numFmtId="0" fontId="22" fillId="0" borderId="21" xfId="55" applyFont="1" applyBorder="1" applyAlignment="1">
      <alignment horizontal="center" vertical="center" wrapText="1"/>
      <protection/>
    </xf>
    <xf numFmtId="0" fontId="22" fillId="0" borderId="20" xfId="55" applyFont="1" applyBorder="1" applyAlignment="1">
      <alignment horizontal="center" vertical="center" wrapText="1"/>
      <protection/>
    </xf>
    <xf numFmtId="0" fontId="15" fillId="0" borderId="16" xfId="55" applyBorder="1">
      <alignment horizontal="center" vertical="center" wrapText="1"/>
      <protection/>
    </xf>
    <xf numFmtId="0" fontId="9" fillId="0" borderId="0" xfId="50" applyFont="1" applyFill="1" applyAlignment="1">
      <alignment horizontal="center" vertical="center" wrapText="1"/>
      <protection/>
    </xf>
    <xf numFmtId="0" fontId="15" fillId="0" borderId="18" xfId="55" applyFont="1" applyBorder="1" applyAlignment="1">
      <alignment horizontal="center" vertical="center" wrapText="1"/>
      <protection/>
    </xf>
    <xf numFmtId="0" fontId="15" fillId="0" borderId="20" xfId="55" applyBorder="1" applyAlignment="1">
      <alignment horizontal="center" vertical="center" wrapText="1"/>
      <protection/>
    </xf>
    <xf numFmtId="0" fontId="9" fillId="0" borderId="0" xfId="50" applyFont="1" applyFill="1" applyBorder="1" applyAlignment="1">
      <alignment horizontal="center" vertical="center" wrapText="1"/>
      <protection/>
    </xf>
    <xf numFmtId="49" fontId="0" fillId="0" borderId="14" xfId="0" applyFill="1" applyBorder="1" applyAlignment="1">
      <alignment horizontal="center" vertical="top"/>
    </xf>
    <xf numFmtId="49" fontId="0" fillId="0" borderId="15" xfId="0" applyFill="1" applyBorder="1" applyAlignment="1">
      <alignment horizontal="center" vertical="top"/>
    </xf>
    <xf numFmtId="0" fontId="93" fillId="44" borderId="0" xfId="0" applyNumberFormat="1" applyFont="1" applyFill="1" applyAlignment="1">
      <alignment horizontal="justify" wrapText="1"/>
    </xf>
    <xf numFmtId="49" fontId="0" fillId="0" borderId="8" xfId="0" applyBorder="1" applyAlignment="1">
      <alignment vertical="top"/>
    </xf>
    <xf numFmtId="0" fontId="49" fillId="0" borderId="0" xfId="50" applyFont="1">
      <alignment horizontal="center" vertical="center" wrapText="1"/>
      <protection/>
    </xf>
    <xf numFmtId="49" fontId="0" fillId="0" borderId="14" xfId="0" applyBorder="1" applyAlignment="1">
      <alignment vertical="top"/>
    </xf>
    <xf numFmtId="0" fontId="93" fillId="44" borderId="0" xfId="0" applyNumberFormat="1" applyFont="1" applyFill="1" applyAlignment="1">
      <alignment horizontal="left" wrapText="1"/>
    </xf>
    <xf numFmtId="49" fontId="0" fillId="0" borderId="8" xfId="0" applyBorder="1" applyAlignment="1">
      <alignment horizontal="left" vertical="top" wrapText="1"/>
    </xf>
    <xf numFmtId="49" fontId="0" fillId="0" borderId="8" xfId="0" applyBorder="1" applyAlignment="1">
      <alignment horizontal="center" vertical="top" wrapText="1"/>
    </xf>
    <xf numFmtId="49" fontId="0" fillId="0" borderId="8" xfId="0" applyBorder="1" applyAlignment="1">
      <alignment vertical="top" wrapText="1"/>
    </xf>
    <xf numFmtId="49" fontId="0" fillId="0" borderId="15" xfId="0" applyBorder="1" applyAlignment="1">
      <alignment vertical="top"/>
    </xf>
    <xf numFmtId="49" fontId="15" fillId="0" borderId="8" xfId="0" applyFont="1" applyBorder="1" applyAlignment="1">
      <alignment horizontal="center" vertical="center"/>
    </xf>
    <xf numFmtId="49" fontId="15" fillId="0" borderId="20" xfId="0" applyFont="1" applyBorder="1" applyAlignment="1">
      <alignment horizontal="center" vertical="center"/>
    </xf>
    <xf numFmtId="49" fontId="0" fillId="0" borderId="8" xfId="0" applyBorder="1" applyAlignment="1">
      <alignment horizontal="center" vertical="top"/>
    </xf>
    <xf numFmtId="49" fontId="0" fillId="0" borderId="20" xfId="0" applyBorder="1" applyAlignment="1">
      <alignment horizontal="center" vertical="top"/>
    </xf>
    <xf numFmtId="49" fontId="0" fillId="0" borderId="14" xfId="0" applyBorder="1" applyAlignment="1">
      <alignment horizontal="left" vertical="top"/>
    </xf>
    <xf numFmtId="49" fontId="33" fillId="0" borderId="0" xfId="0" applyFont="1" applyAlignment="1">
      <alignment horizontal="center" vertical="center" wrapText="1"/>
    </xf>
    <xf numFmtId="49" fontId="15" fillId="0" borderId="18" xfId="0" applyFont="1" applyBorder="1" applyAlignment="1">
      <alignment horizontal="center" vertical="center" wrapText="1"/>
    </xf>
    <xf numFmtId="49" fontId="15" fillId="0" borderId="19" xfId="0" applyFont="1" applyBorder="1" applyAlignment="1">
      <alignment horizontal="center" vertical="center" wrapText="1"/>
    </xf>
    <xf numFmtId="49" fontId="35" fillId="44" borderId="0" xfId="0" applyFont="1" applyFill="1" applyAlignment="1">
      <alignment horizontal="left" vertical="center" wrapText="1"/>
    </xf>
    <xf numFmtId="49" fontId="17" fillId="42" borderId="62" xfId="47" applyNumberFormat="1" applyFont="1" applyFill="1" applyBorder="1" applyAlignment="1" applyProtection="1">
      <alignment horizontal="left" vertical="top"/>
      <protection/>
    </xf>
    <xf numFmtId="4" fontId="94" fillId="0" borderId="8" xfId="57" applyFont="1" applyFill="1" applyBorder="1">
      <alignment horizontal="right"/>
      <protection/>
    </xf>
  </cellXfs>
  <cellStyles count="7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й заголовок" xfId="60"/>
    <cellStyle name="Мой заголовок листа" xfId="61"/>
    <cellStyle name="Мои наименования показателей" xfId="62"/>
    <cellStyle name="Название" xfId="63"/>
    <cellStyle name="Нейтральный" xfId="64"/>
    <cellStyle name="Обычный 2" xfId="65"/>
    <cellStyle name="Обычный_Инвестиции Сети Сбыты ЭСО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Текстовый" xfId="75"/>
    <cellStyle name="Тысячи [0]_3Com" xfId="76"/>
    <cellStyle name="Тысячи_3Com" xfId="77"/>
    <cellStyle name="Comma" xfId="78"/>
    <cellStyle name="Comma [0]" xfId="79"/>
    <cellStyle name="Формула" xfId="80"/>
    <cellStyle name="Формула_GRES.2007.5" xfId="81"/>
    <cellStyle name="ФормулаВБ" xfId="82"/>
    <cellStyle name="ФормулаНаКонтроль" xfId="83"/>
    <cellStyle name="ФормулаНаКонтроль_GRES.2007.5" xfId="84"/>
    <cellStyle name="Хороший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externalLink" Target="externalLinks/externalLink2.xml" /><Relationship Id="rId30" Type="http://schemas.openxmlformats.org/officeDocument/2006/relationships/externalLink" Target="externalLinks/externalLink3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OREP.INV.NE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tk_server\1%20obschaya%20papka%20ktr\&#1052;&#1086;&#1085;&#1080;&#1090;&#1086;&#1088;&#1080;&#1085;&#1075;&#1080;\&#1058;&#1072;&#1088;&#1080;&#1092;&#1099;%20&#1101;&#1083;&#1077;&#1082;&#1090;&#1088;&#1086;-2011\&#1047;&#1072;&#1087;&#1088;&#1086;&#1089;%20&#1082;%2001.02.2011-&#1069;&#1083;&#1077;&#1082;&#1090;&#1088;&#1086;&#1101;&#1085;&#1077;&#1088;&#1075;&#1080;&#1103;\REP.BLR.2011%20&#1074;&#1077;&#1088;1-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TSET.NET.2015%20&#1096;&#1072;&#1073;&#1083;&#1086;&#1085;%20&#1089;%20&#1082;&#1042;&#1090;&#1095;%20&#1080;%20&#1082;&#104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вод"/>
      <sheetName val="Сетевые организации"/>
      <sheetName val="Сбытовые организации"/>
      <sheetName val="ЭСО"/>
      <sheetName val="TEHSHEET"/>
    </sheetNames>
    <sheetDataSet>
      <sheetData sheetId="8">
        <row r="42">
          <cell r="I42" t="str">
            <v>Новое строительство и расширение</v>
          </cell>
        </row>
        <row r="43">
          <cell r="I43" t="str">
            <v>Техническое перевооружение и реконструкция</v>
          </cell>
        </row>
        <row r="44">
          <cell r="I44" t="str">
            <v>Приобретение объектов основных средств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Диапазоны"/>
      <sheetName val="Инструкция"/>
      <sheetName val="Заголовок"/>
      <sheetName val="Справочники"/>
      <sheetName val="Тариф на услуги по передаче ээ"/>
      <sheetName val="Индивидуальные тарифы"/>
      <sheetName val="Расчет котлового тарифа"/>
      <sheetName val="4 баланс ээ"/>
      <sheetName val="5 баланс мощности"/>
      <sheetName val="Расчет расходов RAB"/>
      <sheetName val="расчет НВВ РСК по RAB"/>
      <sheetName val="Показатели надежности и кач-ва"/>
      <sheetName val="Расчет индексация"/>
      <sheetName val="Индексы"/>
    </sheetNames>
    <sheetDataSet>
      <sheetData sheetId="5">
        <row r="11">
          <cell r="B11" t="str">
            <v>2011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3"/>
      <sheetName val="3 сторонние"/>
      <sheetName val="4"/>
      <sheetName val="4 сторонние"/>
      <sheetName val="5"/>
      <sheetName val="5 сторонние"/>
      <sheetName val="П1.6"/>
      <sheetName val="1.30 год"/>
      <sheetName val="1.30 полугодия"/>
      <sheetName val="свод"/>
      <sheetName val="долгосроч. параметры"/>
      <sheetName val="Инвестиции"/>
      <sheetName val="16"/>
      <sheetName val="17"/>
      <sheetName val="17.1"/>
      <sheetName val="24"/>
      <sheetName val="25"/>
      <sheetName val="P2.1"/>
      <sheetName val="P2.2"/>
      <sheetName val="отпуск населению"/>
      <sheetName val="TEHSHEET"/>
    </sheetNames>
    <sheetDataSet>
      <sheetData sheetId="1">
        <row r="15">
          <cell r="B15">
            <v>2007</v>
          </cell>
        </row>
      </sheetData>
      <sheetData sheetId="2">
        <row r="13">
          <cell r="E13" t="str">
            <v>Мурманская область</v>
          </cell>
        </row>
        <row r="21">
          <cell r="D21" t="str">
            <v>МУП "Кировская горэлектросеть"</v>
          </cell>
          <cell r="I21" t="str">
            <v>5103021241</v>
          </cell>
        </row>
        <row r="27">
          <cell r="F27" t="str">
            <v>Предложение организации</v>
          </cell>
        </row>
      </sheetData>
      <sheetData sheetId="5">
        <row r="15">
          <cell r="H15">
            <v>62.37</v>
          </cell>
          <cell r="M15">
            <v>59.982462</v>
          </cell>
          <cell r="R15">
            <v>62.84</v>
          </cell>
          <cell r="W15">
            <v>62.84</v>
          </cell>
          <cell r="AB15">
            <v>40.21</v>
          </cell>
        </row>
        <row r="16">
          <cell r="H16">
            <v>9.6207</v>
          </cell>
          <cell r="M16">
            <v>9.383778</v>
          </cell>
          <cell r="R16">
            <v>10.2</v>
          </cell>
          <cell r="W16">
            <v>10.2</v>
          </cell>
          <cell r="AB16">
            <v>3.3013</v>
          </cell>
        </row>
        <row r="17">
          <cell r="I17">
            <v>56.8872</v>
          </cell>
          <cell r="N17">
            <v>57.351362</v>
          </cell>
          <cell r="S17">
            <v>58.643</v>
          </cell>
          <cell r="X17">
            <v>58.643</v>
          </cell>
          <cell r="AC17">
            <v>28.047559</v>
          </cell>
        </row>
        <row r="20">
          <cell r="F20">
            <v>62.37</v>
          </cell>
          <cell r="G20">
            <v>9.75</v>
          </cell>
          <cell r="H20">
            <v>9.78</v>
          </cell>
          <cell r="K20">
            <v>59.982462</v>
          </cell>
          <cell r="L20">
            <v>9.508152</v>
          </cell>
          <cell r="M20">
            <v>13.659747</v>
          </cell>
          <cell r="P20">
            <v>62.84</v>
          </cell>
          <cell r="Q20">
            <v>10.326</v>
          </cell>
          <cell r="R20">
            <v>11.034</v>
          </cell>
          <cell r="U20">
            <v>62.84</v>
          </cell>
          <cell r="V20">
            <v>10.326</v>
          </cell>
          <cell r="W20">
            <v>11.034</v>
          </cell>
          <cell r="Z20">
            <v>40.21</v>
          </cell>
          <cell r="AA20">
            <v>3.45</v>
          </cell>
          <cell r="AB20">
            <v>1.27</v>
          </cell>
        </row>
        <row r="23">
          <cell r="H23">
            <v>0.7</v>
          </cell>
          <cell r="M23">
            <v>0.850583</v>
          </cell>
          <cell r="R23">
            <v>0.7</v>
          </cell>
          <cell r="W23">
            <v>0.7</v>
          </cell>
          <cell r="AB23">
            <v>0.425</v>
          </cell>
        </row>
        <row r="25">
          <cell r="H25">
            <v>21</v>
          </cell>
          <cell r="I25">
            <v>50.8396</v>
          </cell>
          <cell r="L25">
            <v>0.0018</v>
          </cell>
          <cell r="M25">
            <v>21.75159</v>
          </cell>
          <cell r="N25">
            <v>51.0423</v>
          </cell>
          <cell r="R25">
            <v>21.9</v>
          </cell>
          <cell r="S25">
            <v>52.085</v>
          </cell>
          <cell r="W25">
            <v>21.9</v>
          </cell>
          <cell r="X25">
            <v>52.085</v>
          </cell>
          <cell r="AA25">
            <v>0.0108</v>
          </cell>
          <cell r="AB25">
            <v>14.642</v>
          </cell>
          <cell r="AC25">
            <v>24.840359</v>
          </cell>
        </row>
      </sheetData>
      <sheetData sheetId="7">
        <row r="15">
          <cell r="H15">
            <v>10.72</v>
          </cell>
          <cell r="M15">
            <v>10.88</v>
          </cell>
          <cell r="R15">
            <v>10.802</v>
          </cell>
          <cell r="W15">
            <v>10.802</v>
          </cell>
          <cell r="AB15">
            <v>14.005</v>
          </cell>
        </row>
        <row r="16">
          <cell r="H16">
            <v>1.41</v>
          </cell>
          <cell r="M16">
            <v>1.4</v>
          </cell>
          <cell r="R16">
            <v>1.46</v>
          </cell>
          <cell r="W16">
            <v>1.46</v>
          </cell>
          <cell r="AB16">
            <v>0.964</v>
          </cell>
        </row>
        <row r="17">
          <cell r="I17">
            <v>9.77</v>
          </cell>
          <cell r="N17">
            <v>10.222</v>
          </cell>
          <cell r="S17">
            <v>9.958</v>
          </cell>
          <cell r="X17">
            <v>9.958</v>
          </cell>
          <cell r="AC17">
            <v>10.561</v>
          </cell>
        </row>
        <row r="20">
          <cell r="F20">
            <v>10.72</v>
          </cell>
          <cell r="G20">
            <v>1.43</v>
          </cell>
          <cell r="H20">
            <v>1.44</v>
          </cell>
          <cell r="K20">
            <v>10.88</v>
          </cell>
          <cell r="L20">
            <v>1.433</v>
          </cell>
          <cell r="M20">
            <v>1.877</v>
          </cell>
          <cell r="P20">
            <v>10.802</v>
          </cell>
          <cell r="Q20">
            <v>1.482</v>
          </cell>
          <cell r="R20">
            <v>1.499</v>
          </cell>
          <cell r="U20">
            <v>10.802</v>
          </cell>
          <cell r="V20">
            <v>1.482</v>
          </cell>
          <cell r="W20">
            <v>1.499</v>
          </cell>
          <cell r="Z20">
            <v>14.005</v>
          </cell>
          <cell r="AA20">
            <v>1.018</v>
          </cell>
          <cell r="AB20">
            <v>0.373</v>
          </cell>
        </row>
        <row r="21">
          <cell r="G21">
            <v>0.02</v>
          </cell>
          <cell r="H21">
            <v>0.54</v>
          </cell>
          <cell r="I21">
            <v>1.03</v>
          </cell>
          <cell r="L21">
            <v>0.03</v>
          </cell>
          <cell r="M21">
            <v>0.605</v>
          </cell>
          <cell r="N21">
            <v>1.03</v>
          </cell>
          <cell r="Q21">
            <v>0.022</v>
          </cell>
          <cell r="R21">
            <v>0.546</v>
          </cell>
          <cell r="S21">
            <v>1.041</v>
          </cell>
          <cell r="V21">
            <v>0.022</v>
          </cell>
          <cell r="W21">
            <v>0.546</v>
          </cell>
          <cell r="X21">
            <v>1.041</v>
          </cell>
          <cell r="AA21">
            <v>0.051</v>
          </cell>
          <cell r="AB21">
            <v>0.607</v>
          </cell>
          <cell r="AC21">
            <v>1.062</v>
          </cell>
        </row>
        <row r="23">
          <cell r="H23">
            <v>0.07</v>
          </cell>
          <cell r="M23">
            <v>0.13</v>
          </cell>
          <cell r="R23">
            <v>0.07</v>
          </cell>
          <cell r="W23">
            <v>0.07</v>
          </cell>
          <cell r="AB23">
            <v>0.13</v>
          </cell>
        </row>
        <row r="25">
          <cell r="H25">
            <v>3.19</v>
          </cell>
          <cell r="I25">
            <v>8.74</v>
          </cell>
          <cell r="L25">
            <v>0.003</v>
          </cell>
          <cell r="M25">
            <v>3.2</v>
          </cell>
          <cell r="N25">
            <v>9.192</v>
          </cell>
          <cell r="R25">
            <v>3.187</v>
          </cell>
          <cell r="S25">
            <v>8.917</v>
          </cell>
          <cell r="W25">
            <v>3.187</v>
          </cell>
          <cell r="X25">
            <v>8.917</v>
          </cell>
          <cell r="AA25">
            <v>0.003</v>
          </cell>
          <cell r="AB25">
            <v>4.044</v>
          </cell>
          <cell r="AC25">
            <v>9.499</v>
          </cell>
        </row>
      </sheetData>
      <sheetData sheetId="12">
        <row r="10">
          <cell r="G10">
            <v>14.190000000000001</v>
          </cell>
          <cell r="I10">
            <v>13.783</v>
          </cell>
          <cell r="K10">
            <v>13.783</v>
          </cell>
          <cell r="M10">
            <v>15.396</v>
          </cell>
          <cell r="Q10">
            <v>111.70282231734747</v>
          </cell>
          <cell r="R10">
            <v>0</v>
          </cell>
          <cell r="S10">
            <v>0</v>
          </cell>
          <cell r="T10">
            <v>0</v>
          </cell>
        </row>
        <row r="11">
          <cell r="G11">
            <v>34.897000000000006</v>
          </cell>
          <cell r="I11">
            <v>34.324000000000005</v>
          </cell>
          <cell r="K11">
            <v>34.324000000000005</v>
          </cell>
          <cell r="M11">
            <v>39.076</v>
          </cell>
          <cell r="Q11">
            <v>113.84454026337256</v>
          </cell>
          <cell r="R11">
            <v>0</v>
          </cell>
          <cell r="S11">
            <v>0</v>
          </cell>
          <cell r="T11">
            <v>0</v>
          </cell>
        </row>
        <row r="12">
          <cell r="G12">
            <v>12.395</v>
          </cell>
          <cell r="I12">
            <v>12.104</v>
          </cell>
          <cell r="K12">
            <v>12.104</v>
          </cell>
          <cell r="M12">
            <v>13.546</v>
          </cell>
          <cell r="Q12">
            <v>111.91341705221414</v>
          </cell>
          <cell r="R12">
            <v>0</v>
          </cell>
          <cell r="S12">
            <v>0</v>
          </cell>
          <cell r="T12">
            <v>0</v>
          </cell>
        </row>
        <row r="13">
          <cell r="E13">
            <v>41122.58767620086</v>
          </cell>
          <cell r="F13">
            <v>0</v>
          </cell>
          <cell r="G13">
            <v>23779.40537786512</v>
          </cell>
          <cell r="H13">
            <v>0</v>
          </cell>
          <cell r="I13">
            <v>43697.217402405484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</row>
        <row r="14">
          <cell r="E14">
            <v>2297.485</v>
          </cell>
          <cell r="F14">
            <v>0</v>
          </cell>
          <cell r="G14">
            <v>2262.9900000000002</v>
          </cell>
          <cell r="H14">
            <v>0</v>
          </cell>
          <cell r="I14">
            <v>2393.7999999999997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E15">
            <v>1738.24</v>
          </cell>
          <cell r="G15">
            <v>1841.074</v>
          </cell>
          <cell r="I15">
            <v>1811.12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  <row r="16">
          <cell r="E16">
            <v>559.245</v>
          </cell>
          <cell r="G16">
            <v>421.916</v>
          </cell>
          <cell r="I16">
            <v>582.68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</row>
        <row r="17">
          <cell r="E17">
            <v>1327.284</v>
          </cell>
          <cell r="F17">
            <v>0</v>
          </cell>
          <cell r="G17">
            <v>1540.665</v>
          </cell>
          <cell r="H17">
            <v>0</v>
          </cell>
          <cell r="I17">
            <v>1387.36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</row>
        <row r="18">
          <cell r="E18">
            <v>1063.2</v>
          </cell>
          <cell r="G18">
            <v>1377.171</v>
          </cell>
          <cell r="I18">
            <v>1137.62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</row>
        <row r="19">
          <cell r="E19">
            <v>264.084</v>
          </cell>
          <cell r="G19">
            <v>163.494</v>
          </cell>
          <cell r="I19">
            <v>249.74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</row>
        <row r="20">
          <cell r="E20">
            <v>1518.57</v>
          </cell>
          <cell r="G20">
            <v>1730.5509826674</v>
          </cell>
          <cell r="I20">
            <v>2104.38</v>
          </cell>
          <cell r="K20">
            <v>0</v>
          </cell>
          <cell r="L20">
            <v>0</v>
          </cell>
          <cell r="M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</row>
        <row r="21">
          <cell r="E21">
            <v>976.28</v>
          </cell>
          <cell r="F21">
            <v>0</v>
          </cell>
          <cell r="G21">
            <v>1730.5509826674</v>
          </cell>
          <cell r="H21">
            <v>0</v>
          </cell>
          <cell r="I21">
            <v>1150.8600000000001</v>
          </cell>
          <cell r="J21">
            <v>0</v>
          </cell>
          <cell r="K21">
            <v>0</v>
          </cell>
          <cell r="L21">
            <v>0</v>
          </cell>
          <cell r="M21">
            <v>-1197.3200000000002</v>
          </cell>
          <cell r="N21">
            <v>0</v>
          </cell>
          <cell r="Q21">
            <v>-104.03698104026556</v>
          </cell>
          <cell r="R21">
            <v>0</v>
          </cell>
          <cell r="S21">
            <v>-122.64104560167166</v>
          </cell>
          <cell r="T21">
            <v>0</v>
          </cell>
        </row>
        <row r="22">
          <cell r="E22">
            <v>542.29</v>
          </cell>
          <cell r="F22">
            <v>0</v>
          </cell>
          <cell r="G22">
            <v>0</v>
          </cell>
          <cell r="H22">
            <v>0</v>
          </cell>
          <cell r="I22">
            <v>953.52</v>
          </cell>
          <cell r="J22">
            <v>0</v>
          </cell>
          <cell r="K22">
            <v>0</v>
          </cell>
          <cell r="L22">
            <v>0</v>
          </cell>
          <cell r="M22">
            <v>1197.3200000000002</v>
          </cell>
          <cell r="N22">
            <v>0</v>
          </cell>
          <cell r="Q22">
            <v>125.56842016947733</v>
          </cell>
          <cell r="R22">
            <v>0</v>
          </cell>
          <cell r="S22">
            <v>220.78961441295252</v>
          </cell>
          <cell r="T22">
            <v>0</v>
          </cell>
        </row>
        <row r="23">
          <cell r="M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</row>
        <row r="24">
          <cell r="E24">
            <v>1.25</v>
          </cell>
          <cell r="M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</row>
        <row r="25">
          <cell r="E25">
            <v>467.48</v>
          </cell>
          <cell r="I25">
            <v>474.13</v>
          </cell>
          <cell r="M25">
            <v>592.48</v>
          </cell>
          <cell r="Q25">
            <v>124.96150844705039</v>
          </cell>
          <cell r="R25">
            <v>0</v>
          </cell>
          <cell r="S25">
            <v>126.73911183366133</v>
          </cell>
          <cell r="T25">
            <v>0</v>
          </cell>
        </row>
        <row r="26">
          <cell r="E26">
            <v>73.56</v>
          </cell>
          <cell r="I26">
            <v>479.39</v>
          </cell>
          <cell r="M26">
            <v>604.84</v>
          </cell>
          <cell r="Q26">
            <v>126.16867268820795</v>
          </cell>
          <cell r="R26">
            <v>0</v>
          </cell>
          <cell r="S26">
            <v>822.2403480152258</v>
          </cell>
          <cell r="T26">
            <v>0</v>
          </cell>
        </row>
        <row r="27">
          <cell r="E27">
            <v>14902.324676200862</v>
          </cell>
          <cell r="G27">
            <v>14742.436395197723</v>
          </cell>
          <cell r="H27">
            <v>0</v>
          </cell>
          <cell r="I27">
            <v>15527.147402405486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</row>
        <row r="28">
          <cell r="E28">
            <v>4530.31</v>
          </cell>
          <cell r="G28">
            <v>298.336</v>
          </cell>
          <cell r="I28">
            <v>4720.24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</row>
        <row r="29">
          <cell r="E29">
            <v>2284.32</v>
          </cell>
          <cell r="G29">
            <v>3204.427</v>
          </cell>
          <cell r="I29">
            <v>2380.09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</row>
        <row r="30">
          <cell r="E30">
            <v>14262.293999999998</v>
          </cell>
          <cell r="F30">
            <v>0</v>
          </cell>
          <cell r="G30">
            <v>0</v>
          </cell>
          <cell r="H30">
            <v>0</v>
          </cell>
          <cell r="I30">
            <v>15184.199999999999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</row>
        <row r="32">
          <cell r="Q32">
            <v>0</v>
          </cell>
          <cell r="R32">
            <v>0</v>
          </cell>
          <cell r="S32">
            <v>0</v>
          </cell>
          <cell r="T32">
            <v>0</v>
          </cell>
        </row>
        <row r="33">
          <cell r="Q33">
            <v>0</v>
          </cell>
          <cell r="R33">
            <v>0</v>
          </cell>
          <cell r="S33">
            <v>0</v>
          </cell>
          <cell r="T33">
            <v>0</v>
          </cell>
        </row>
        <row r="34">
          <cell r="Q34">
            <v>0</v>
          </cell>
          <cell r="R34">
            <v>0</v>
          </cell>
          <cell r="S34">
            <v>0</v>
          </cell>
          <cell r="T34">
            <v>0</v>
          </cell>
        </row>
        <row r="35">
          <cell r="Q35">
            <v>0</v>
          </cell>
          <cell r="R35">
            <v>0</v>
          </cell>
          <cell r="S35">
            <v>0</v>
          </cell>
          <cell r="T35">
            <v>0</v>
          </cell>
        </row>
        <row r="36">
          <cell r="E36">
            <v>679.86</v>
          </cell>
          <cell r="I36">
            <v>708.36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</row>
        <row r="37">
          <cell r="E37">
            <v>494.71000000000004</v>
          </cell>
          <cell r="F37">
            <v>0</v>
          </cell>
          <cell r="G37">
            <v>0</v>
          </cell>
          <cell r="H37">
            <v>0</v>
          </cell>
          <cell r="I37">
            <v>349.37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</row>
        <row r="38">
          <cell r="E38">
            <v>430.81</v>
          </cell>
          <cell r="I38">
            <v>280.89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</row>
        <row r="39">
          <cell r="E39">
            <v>29.86</v>
          </cell>
          <cell r="I39">
            <v>29.86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</row>
        <row r="40">
          <cell r="E40">
            <v>34.04</v>
          </cell>
          <cell r="I40">
            <v>38.62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</row>
        <row r="41">
          <cell r="E41">
            <v>13087.723999999998</v>
          </cell>
          <cell r="F41">
            <v>0</v>
          </cell>
          <cell r="G41">
            <v>0</v>
          </cell>
          <cell r="H41">
            <v>0</v>
          </cell>
          <cell r="I41">
            <v>14126.47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</row>
        <row r="42">
          <cell r="E42">
            <v>227.444</v>
          </cell>
          <cell r="I42">
            <v>236.98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</row>
        <row r="43">
          <cell r="E43">
            <v>0.44</v>
          </cell>
          <cell r="I43">
            <v>0.46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</row>
        <row r="44">
          <cell r="E44">
            <v>172.16</v>
          </cell>
          <cell r="I44">
            <v>179.38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</row>
        <row r="45">
          <cell r="E45">
            <v>157.87</v>
          </cell>
          <cell r="I45">
            <v>164.49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</row>
        <row r="46">
          <cell r="E46">
            <v>224.89</v>
          </cell>
          <cell r="I46">
            <v>234.32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</row>
        <row r="47">
          <cell r="E47">
            <v>186.01</v>
          </cell>
          <cell r="I47">
            <v>683.82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</row>
        <row r="48">
          <cell r="E48">
            <v>16.68</v>
          </cell>
          <cell r="I48">
            <v>17.38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</row>
        <row r="49">
          <cell r="E49">
            <v>29.36</v>
          </cell>
          <cell r="I49">
            <v>30.59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</row>
        <row r="50">
          <cell r="E50">
            <v>178.66</v>
          </cell>
          <cell r="I50">
            <v>186.15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</row>
        <row r="51">
          <cell r="Q51">
            <v>0</v>
          </cell>
          <cell r="R51">
            <v>0</v>
          </cell>
          <cell r="S51">
            <v>0</v>
          </cell>
          <cell r="T51">
            <v>0</v>
          </cell>
        </row>
        <row r="52">
          <cell r="Q52">
            <v>0</v>
          </cell>
          <cell r="R52">
            <v>0</v>
          </cell>
          <cell r="S52">
            <v>0</v>
          </cell>
          <cell r="T52">
            <v>0</v>
          </cell>
        </row>
        <row r="53">
          <cell r="E53">
            <v>11894.21</v>
          </cell>
          <cell r="I53">
            <v>12392.9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</row>
        <row r="54">
          <cell r="E54">
            <v>1090.2740000000001</v>
          </cell>
          <cell r="F54">
            <v>0</v>
          </cell>
          <cell r="G54">
            <v>0</v>
          </cell>
          <cell r="H54">
            <v>0</v>
          </cell>
          <cell r="I54">
            <v>1123.5600000000002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</row>
        <row r="55">
          <cell r="E55">
            <v>450.04</v>
          </cell>
          <cell r="I55">
            <v>468.91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</row>
        <row r="56">
          <cell r="E56">
            <v>200.12</v>
          </cell>
          <cell r="I56">
            <v>208.51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</row>
        <row r="57">
          <cell r="E57">
            <v>73.79</v>
          </cell>
          <cell r="F57">
            <v>0</v>
          </cell>
          <cell r="G57">
            <v>0</v>
          </cell>
          <cell r="H57">
            <v>0</v>
          </cell>
          <cell r="I57">
            <v>64.46000000000001</v>
          </cell>
          <cell r="J57">
            <v>0</v>
          </cell>
          <cell r="K57">
            <v>0</v>
          </cell>
          <cell r="L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</row>
        <row r="58">
          <cell r="M58">
            <v>0</v>
          </cell>
          <cell r="N58" t="e">
            <v>#DIV/0!</v>
          </cell>
          <cell r="O58" t="e">
            <v>#DIV/0!</v>
          </cell>
          <cell r="P58" t="e">
            <v>#DIV/0!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</row>
        <row r="59">
          <cell r="E59">
            <v>5.14</v>
          </cell>
          <cell r="I59">
            <v>4.48</v>
          </cell>
          <cell r="M59">
            <v>0</v>
          </cell>
          <cell r="N59" t="e">
            <v>#DIV/0!</v>
          </cell>
          <cell r="O59" t="e">
            <v>#DIV/0!</v>
          </cell>
          <cell r="P59" t="e">
            <v>#DIV/0!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</row>
        <row r="60">
          <cell r="E60">
            <v>57.79</v>
          </cell>
          <cell r="I60">
            <v>51.06</v>
          </cell>
          <cell r="M60">
            <v>0</v>
          </cell>
          <cell r="N60" t="e">
            <v>#DIV/0!</v>
          </cell>
          <cell r="O60" t="e">
            <v>#DIV/0!</v>
          </cell>
          <cell r="P60" t="e">
            <v>#DIV/0!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</row>
        <row r="61">
          <cell r="E61">
            <v>10.894</v>
          </cell>
          <cell r="I61">
            <v>8.92</v>
          </cell>
          <cell r="M61">
            <v>0</v>
          </cell>
          <cell r="N61" t="e">
            <v>#DIV/0!</v>
          </cell>
          <cell r="O61" t="e">
            <v>#DIV/0!</v>
          </cell>
          <cell r="P61" t="e">
            <v>#DIV/0!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</row>
        <row r="62">
          <cell r="Q62">
            <v>0</v>
          </cell>
          <cell r="R62">
            <v>0</v>
          </cell>
          <cell r="S62">
            <v>0</v>
          </cell>
          <cell r="T62">
            <v>0</v>
          </cell>
        </row>
        <row r="63">
          <cell r="E63">
            <v>366.324</v>
          </cell>
          <cell r="I63">
            <v>381.68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</row>
        <row r="64">
          <cell r="E64">
            <v>42212.86167620086</v>
          </cell>
          <cell r="F64">
            <v>0</v>
          </cell>
          <cell r="G64">
            <v>23779.40537786512</v>
          </cell>
          <cell r="H64">
            <v>0</v>
          </cell>
          <cell r="I64">
            <v>44820.77740240548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-131.08430069783967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-320.231395290063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451.3156959879027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</row>
        <row r="70">
          <cell r="E70">
            <v>366.32</v>
          </cell>
          <cell r="F70">
            <v>0</v>
          </cell>
          <cell r="G70">
            <v>0</v>
          </cell>
          <cell r="H70">
            <v>0</v>
          </cell>
          <cell r="I70">
            <v>381.68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</row>
        <row r="72">
          <cell r="Q72">
            <v>0</v>
          </cell>
          <cell r="R72">
            <v>0</v>
          </cell>
          <cell r="S72">
            <v>0</v>
          </cell>
          <cell r="T72">
            <v>0</v>
          </cell>
        </row>
        <row r="73">
          <cell r="Q73">
            <v>0</v>
          </cell>
          <cell r="R73">
            <v>0</v>
          </cell>
          <cell r="S73">
            <v>0</v>
          </cell>
          <cell r="T73">
            <v>0</v>
          </cell>
        </row>
        <row r="74">
          <cell r="Q74">
            <v>0</v>
          </cell>
          <cell r="R74">
            <v>0</v>
          </cell>
          <cell r="S74">
            <v>0</v>
          </cell>
          <cell r="T74">
            <v>0</v>
          </cell>
        </row>
        <row r="75">
          <cell r="Q75">
            <v>0</v>
          </cell>
          <cell r="R75">
            <v>0</v>
          </cell>
          <cell r="S75">
            <v>0</v>
          </cell>
          <cell r="T75">
            <v>0</v>
          </cell>
        </row>
        <row r="76">
          <cell r="Q76">
            <v>0</v>
          </cell>
          <cell r="R76">
            <v>0</v>
          </cell>
          <cell r="S76">
            <v>0</v>
          </cell>
          <cell r="T76">
            <v>0</v>
          </cell>
        </row>
        <row r="77">
          <cell r="E77">
            <v>184</v>
          </cell>
          <cell r="I77">
            <v>191.71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</row>
        <row r="78">
          <cell r="Q78">
            <v>0</v>
          </cell>
          <cell r="R78">
            <v>0</v>
          </cell>
          <cell r="S78">
            <v>0</v>
          </cell>
          <cell r="T78">
            <v>0</v>
          </cell>
        </row>
        <row r="79">
          <cell r="E79">
            <v>182.32</v>
          </cell>
          <cell r="I79">
            <v>189.97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</row>
        <row r="81">
          <cell r="E81">
            <v>1518.57</v>
          </cell>
          <cell r="F81">
            <v>0</v>
          </cell>
          <cell r="G81">
            <v>1730.5509826674</v>
          </cell>
          <cell r="H81">
            <v>0</v>
          </cell>
          <cell r="I81">
            <v>2104.38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</row>
        <row r="83">
          <cell r="E83">
            <v>457.89999999999986</v>
          </cell>
          <cell r="F83">
            <v>0</v>
          </cell>
          <cell r="G83">
            <v>0</v>
          </cell>
          <cell r="H83">
            <v>0</v>
          </cell>
          <cell r="I83">
            <v>477.0999999999998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</row>
        <row r="84">
          <cell r="E84">
            <v>91.57999999999997</v>
          </cell>
          <cell r="F84">
            <v>0</v>
          </cell>
          <cell r="G84">
            <v>0</v>
          </cell>
          <cell r="H84">
            <v>0</v>
          </cell>
          <cell r="I84">
            <v>95.41999999999996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</row>
        <row r="85"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</row>
        <row r="86">
          <cell r="E86">
            <v>6.33</v>
          </cell>
          <cell r="I86">
            <v>6.63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</row>
        <row r="87">
          <cell r="E87">
            <v>71.73</v>
          </cell>
          <cell r="I87">
            <v>75.59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</row>
        <row r="88">
          <cell r="E88">
            <v>13.52</v>
          </cell>
          <cell r="I88">
            <v>13.2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</row>
        <row r="90">
          <cell r="Q90">
            <v>0</v>
          </cell>
          <cell r="R90">
            <v>0</v>
          </cell>
          <cell r="S90">
            <v>0</v>
          </cell>
          <cell r="T90">
            <v>0</v>
          </cell>
        </row>
        <row r="92">
          <cell r="E92">
            <v>457.9</v>
          </cell>
          <cell r="F92">
            <v>0</v>
          </cell>
          <cell r="G92">
            <v>0</v>
          </cell>
          <cell r="H92">
            <v>0</v>
          </cell>
          <cell r="I92">
            <v>477.09999999999997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</row>
        <row r="98">
          <cell r="E98">
            <v>42670.76167620086</v>
          </cell>
          <cell r="F98">
            <v>0</v>
          </cell>
          <cell r="G98">
            <v>23779.40537786512</v>
          </cell>
          <cell r="H98">
            <v>0</v>
          </cell>
          <cell r="I98">
            <v>45297.87740240548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</row>
        <row r="101">
          <cell r="E101">
            <v>1.0847404838657477</v>
          </cell>
          <cell r="F101">
            <v>0</v>
          </cell>
          <cell r="G101">
            <v>0</v>
          </cell>
          <cell r="H101">
            <v>0</v>
          </cell>
          <cell r="I101">
            <v>1.0644616797173057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</row>
        <row r="107">
          <cell r="Q107">
            <v>0</v>
          </cell>
          <cell r="R107">
            <v>0</v>
          </cell>
          <cell r="S107">
            <v>0</v>
          </cell>
          <cell r="T107">
            <v>0</v>
          </cell>
        </row>
        <row r="108">
          <cell r="Q108">
            <v>0</v>
          </cell>
          <cell r="R108">
            <v>0</v>
          </cell>
          <cell r="S108">
            <v>0</v>
          </cell>
          <cell r="T108">
            <v>0</v>
          </cell>
        </row>
        <row r="109">
          <cell r="Q109">
            <v>0</v>
          </cell>
          <cell r="R109">
            <v>0</v>
          </cell>
          <cell r="S109">
            <v>0</v>
          </cell>
          <cell r="T109">
            <v>0</v>
          </cell>
        </row>
        <row r="110">
          <cell r="Q110">
            <v>0</v>
          </cell>
          <cell r="R110">
            <v>0</v>
          </cell>
          <cell r="S110">
            <v>0</v>
          </cell>
          <cell r="T110">
            <v>0</v>
          </cell>
        </row>
        <row r="111">
          <cell r="Q111">
            <v>0</v>
          </cell>
          <cell r="R111">
            <v>0</v>
          </cell>
          <cell r="S111">
            <v>0</v>
          </cell>
          <cell r="T111">
            <v>0</v>
          </cell>
        </row>
        <row r="112">
          <cell r="Q112">
            <v>0</v>
          </cell>
          <cell r="R112">
            <v>0</v>
          </cell>
          <cell r="S112">
            <v>0</v>
          </cell>
          <cell r="T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</row>
        <row r="114">
          <cell r="Q114">
            <v>0</v>
          </cell>
          <cell r="R114">
            <v>0</v>
          </cell>
          <cell r="S114">
            <v>0</v>
          </cell>
          <cell r="T114">
            <v>0</v>
          </cell>
        </row>
        <row r="115">
          <cell r="Q115">
            <v>0</v>
          </cell>
          <cell r="R115">
            <v>0</v>
          </cell>
          <cell r="S115">
            <v>0</v>
          </cell>
          <cell r="T115">
            <v>0</v>
          </cell>
        </row>
        <row r="116">
          <cell r="Q116">
            <v>0</v>
          </cell>
          <cell r="R116">
            <v>0</v>
          </cell>
          <cell r="S116">
            <v>0</v>
          </cell>
          <cell r="T116">
            <v>0</v>
          </cell>
        </row>
        <row r="117">
          <cell r="Q117">
            <v>0</v>
          </cell>
          <cell r="R117">
            <v>0</v>
          </cell>
          <cell r="S117">
            <v>0</v>
          </cell>
          <cell r="T117">
            <v>0</v>
          </cell>
        </row>
        <row r="120">
          <cell r="E120">
            <v>20</v>
          </cell>
          <cell r="F120">
            <v>20</v>
          </cell>
          <cell r="G120">
            <v>20</v>
          </cell>
          <cell r="H120">
            <v>20</v>
          </cell>
          <cell r="I120">
            <v>20</v>
          </cell>
          <cell r="J120">
            <v>20</v>
          </cell>
          <cell r="K120">
            <v>20</v>
          </cell>
          <cell r="L120">
            <v>20</v>
          </cell>
          <cell r="M120">
            <v>20</v>
          </cell>
          <cell r="N120">
            <v>20</v>
          </cell>
          <cell r="O120">
            <v>20</v>
          </cell>
          <cell r="P120">
            <v>20</v>
          </cell>
          <cell r="Q120">
            <v>100</v>
          </cell>
          <cell r="R120">
            <v>100</v>
          </cell>
          <cell r="S120">
            <v>100</v>
          </cell>
          <cell r="T120">
            <v>100</v>
          </cell>
        </row>
        <row r="121">
          <cell r="E121">
            <v>30.44</v>
          </cell>
          <cell r="G121">
            <v>30.44</v>
          </cell>
          <cell r="I121">
            <v>30.44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2091.5694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</row>
        <row r="124">
          <cell r="M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</row>
        <row r="125">
          <cell r="M125">
            <v>228.988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</row>
        <row r="126">
          <cell r="M126">
            <v>1594.3934999999997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</row>
        <row r="127">
          <cell r="M127">
            <v>268.1879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</sheetData>
      <sheetData sheetId="15">
        <row r="13">
          <cell r="F13">
            <v>38</v>
          </cell>
        </row>
        <row r="16">
          <cell r="E16">
            <v>56</v>
          </cell>
          <cell r="F16">
            <v>38</v>
          </cell>
          <cell r="H16">
            <v>56</v>
          </cell>
        </row>
        <row r="18">
          <cell r="E18">
            <v>5736.28</v>
          </cell>
          <cell r="F18">
            <v>7270</v>
          </cell>
          <cell r="H18">
            <v>5976.79</v>
          </cell>
        </row>
        <row r="20">
          <cell r="E20">
            <v>1.23</v>
          </cell>
          <cell r="F20">
            <v>1.41486</v>
          </cell>
          <cell r="H20">
            <v>1.23</v>
          </cell>
        </row>
        <row r="23">
          <cell r="E23">
            <v>13.8781</v>
          </cell>
          <cell r="F23">
            <v>13.88</v>
          </cell>
          <cell r="H23">
            <v>13.8781</v>
          </cell>
        </row>
        <row r="26">
          <cell r="E26">
            <v>20</v>
          </cell>
          <cell r="F26">
            <v>20</v>
          </cell>
          <cell r="H26">
            <v>20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1">
          <cell r="E41">
            <v>130</v>
          </cell>
          <cell r="F41">
            <v>130</v>
          </cell>
          <cell r="H41">
            <v>130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  <cell r="J49">
            <v>12</v>
          </cell>
          <cell r="K49">
            <v>12</v>
          </cell>
        </row>
      </sheetData>
      <sheetData sheetId="16">
        <row r="9">
          <cell r="E9">
            <v>678</v>
          </cell>
          <cell r="F9">
            <v>724.47</v>
          </cell>
          <cell r="G9">
            <v>538.46</v>
          </cell>
        </row>
        <row r="10">
          <cell r="E10">
            <v>5988.66</v>
          </cell>
          <cell r="F10">
            <v>9967.962</v>
          </cell>
          <cell r="G10">
            <v>8337.24</v>
          </cell>
        </row>
        <row r="11">
          <cell r="E11">
            <v>3829.26</v>
          </cell>
          <cell r="G11">
            <v>3940.09</v>
          </cell>
        </row>
        <row r="13">
          <cell r="F13">
            <v>7182.428</v>
          </cell>
        </row>
        <row r="14">
          <cell r="E14">
            <v>2362.08</v>
          </cell>
          <cell r="G14">
            <v>2323.58</v>
          </cell>
        </row>
        <row r="16">
          <cell r="E16">
            <v>40</v>
          </cell>
          <cell r="F16">
            <v>294.636</v>
          </cell>
        </row>
        <row r="18">
          <cell r="E18">
            <v>430</v>
          </cell>
          <cell r="F18">
            <v>2494.97</v>
          </cell>
          <cell r="G18">
            <v>3592.47</v>
          </cell>
        </row>
        <row r="25">
          <cell r="F25">
            <v>4242.053</v>
          </cell>
        </row>
        <row r="28">
          <cell r="F28">
            <v>4558.923</v>
          </cell>
        </row>
        <row r="31">
          <cell r="E31">
            <v>53</v>
          </cell>
        </row>
        <row r="33">
          <cell r="F33">
            <v>793.22</v>
          </cell>
        </row>
        <row r="39">
          <cell r="F39">
            <v>448</v>
          </cell>
        </row>
        <row r="40">
          <cell r="F40">
            <v>196.834</v>
          </cell>
        </row>
        <row r="43">
          <cell r="F43">
            <v>299.106</v>
          </cell>
        </row>
        <row r="46">
          <cell r="E46">
            <v>21</v>
          </cell>
          <cell r="F46">
            <v>127.187</v>
          </cell>
        </row>
        <row r="48">
          <cell r="F48">
            <v>581.966</v>
          </cell>
        </row>
        <row r="54">
          <cell r="E54">
            <v>678</v>
          </cell>
          <cell r="F54">
            <v>500.449</v>
          </cell>
          <cell r="G54">
            <v>538.46</v>
          </cell>
        </row>
        <row r="55">
          <cell r="E55">
            <v>5988.66</v>
          </cell>
          <cell r="F55">
            <v>11990.571</v>
          </cell>
          <cell r="G55">
            <v>8337.24</v>
          </cell>
        </row>
        <row r="56">
          <cell r="E56">
            <v>3829.26</v>
          </cell>
          <cell r="G56">
            <v>3940.09</v>
          </cell>
        </row>
        <row r="58">
          <cell r="F58">
            <v>9312.336</v>
          </cell>
        </row>
        <row r="59">
          <cell r="E59">
            <v>2362.08</v>
          </cell>
          <cell r="G59">
            <v>2323.58</v>
          </cell>
        </row>
        <row r="61">
          <cell r="E61">
            <v>68</v>
          </cell>
          <cell r="F61">
            <v>231.042</v>
          </cell>
        </row>
        <row r="62">
          <cell r="E62">
            <v>0</v>
          </cell>
        </row>
        <row r="63">
          <cell r="E63">
            <v>430</v>
          </cell>
          <cell r="F63">
            <v>2600.601</v>
          </cell>
          <cell r="G63">
            <v>3592.47</v>
          </cell>
        </row>
        <row r="69">
          <cell r="E69">
            <v>0.735</v>
          </cell>
          <cell r="F69">
            <v>2.37</v>
          </cell>
          <cell r="G69">
            <v>13.5606</v>
          </cell>
        </row>
        <row r="70">
          <cell r="E70">
            <v>5.2277</v>
          </cell>
          <cell r="F70">
            <v>3.3512</v>
          </cell>
          <cell r="G70">
            <v>4.12644</v>
          </cell>
        </row>
        <row r="71">
          <cell r="E71">
            <v>5.95</v>
          </cell>
          <cell r="G71">
            <v>5.27924</v>
          </cell>
        </row>
        <row r="72">
          <cell r="E72">
            <v>29.38</v>
          </cell>
          <cell r="F72">
            <v>10.2837</v>
          </cell>
          <cell r="G72">
            <v>31.87788</v>
          </cell>
        </row>
        <row r="73">
          <cell r="F73">
            <v>10.481146</v>
          </cell>
        </row>
        <row r="74">
          <cell r="E74">
            <v>30.226</v>
          </cell>
          <cell r="G74">
            <v>31.87788</v>
          </cell>
        </row>
        <row r="76">
          <cell r="E76">
            <v>36.76</v>
          </cell>
          <cell r="F76">
            <v>2.3286011</v>
          </cell>
        </row>
        <row r="78">
          <cell r="E78">
            <v>60.168</v>
          </cell>
          <cell r="F78">
            <v>12.89894</v>
          </cell>
          <cell r="G78">
            <v>20.56012</v>
          </cell>
        </row>
      </sheetData>
      <sheetData sheetId="17">
        <row r="11">
          <cell r="D11">
            <v>440.77</v>
          </cell>
          <cell r="E11">
            <v>0</v>
          </cell>
          <cell r="F11">
            <v>42.95</v>
          </cell>
          <cell r="I11">
            <v>42.95</v>
          </cell>
        </row>
        <row r="12">
          <cell r="D12">
            <v>583.9</v>
          </cell>
          <cell r="E12">
            <v>0</v>
          </cell>
          <cell r="F12">
            <v>152.91</v>
          </cell>
          <cell r="I12">
            <v>152.91</v>
          </cell>
        </row>
        <row r="16">
          <cell r="D16">
            <v>2064.15</v>
          </cell>
          <cell r="E16">
            <v>0</v>
          </cell>
          <cell r="F16">
            <v>205.5</v>
          </cell>
          <cell r="I16">
            <v>205.5</v>
          </cell>
        </row>
        <row r="17">
          <cell r="D17">
            <v>2415.56</v>
          </cell>
          <cell r="E17">
            <v>0</v>
          </cell>
          <cell r="F17">
            <v>451.93</v>
          </cell>
          <cell r="I17">
            <v>451.93</v>
          </cell>
        </row>
        <row r="21">
          <cell r="D21">
            <v>8337.242</v>
          </cell>
          <cell r="E21">
            <v>0</v>
          </cell>
          <cell r="F21">
            <v>344.03</v>
          </cell>
          <cell r="I21">
            <v>344.03</v>
          </cell>
        </row>
      </sheetData>
      <sheetData sheetId="18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-451.3156959879027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-131.08430069783967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-320.231395290063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451.3156959879027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-451.3156959879027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-131.08430069783967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-320.231395290063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451.3156959879027</v>
          </cell>
          <cell r="J29">
            <v>0</v>
          </cell>
        </row>
        <row r="30">
          <cell r="E30">
            <v>33.830000000000005</v>
          </cell>
          <cell r="F30">
            <v>34.897000000000006</v>
          </cell>
          <cell r="G30">
            <v>34.324000000000005</v>
          </cell>
          <cell r="H30">
            <v>34.324000000000005</v>
          </cell>
          <cell r="I30">
            <v>38.297</v>
          </cell>
          <cell r="J30">
            <v>1.1157499125975991</v>
          </cell>
        </row>
        <row r="31">
          <cell r="E31">
            <v>23.11</v>
          </cell>
          <cell r="F31">
            <v>24.017000000000003</v>
          </cell>
          <cell r="G31">
            <v>23.522</v>
          </cell>
          <cell r="H31">
            <v>23.522</v>
          </cell>
          <cell r="I31">
            <v>24.524500000000003</v>
          </cell>
          <cell r="J31">
            <v>1.0426196751976875</v>
          </cell>
        </row>
        <row r="32">
          <cell r="E32">
            <v>21.700000000000003</v>
          </cell>
          <cell r="F32">
            <v>22.614</v>
          </cell>
          <cell r="G32">
            <v>22.062</v>
          </cell>
          <cell r="H32">
            <v>22.062</v>
          </cell>
          <cell r="I32">
            <v>23.563000000000002</v>
          </cell>
          <cell r="J32">
            <v>1.0680355362161182</v>
          </cell>
        </row>
        <row r="33">
          <cell r="E33">
            <v>8.74</v>
          </cell>
          <cell r="F33">
            <v>9.192</v>
          </cell>
          <cell r="G33">
            <v>8.917</v>
          </cell>
          <cell r="H33">
            <v>8.917</v>
          </cell>
          <cell r="I33">
            <v>9.221</v>
          </cell>
          <cell r="J33">
            <v>1.034092183469777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-11361.093837566274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-2619.966395956806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1152.7195951374065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-18.93515639594379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-4.735965479512474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2.5005635036410454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-130.6753013196873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-323.7649673467584</v>
          </cell>
          <cell r="J66">
            <v>0</v>
          </cell>
        </row>
      </sheetData>
      <sheetData sheetId="19">
        <row r="9">
          <cell r="G9">
            <v>0</v>
          </cell>
          <cell r="I9">
            <v>0</v>
          </cell>
        </row>
        <row r="10">
          <cell r="G10">
            <v>0</v>
          </cell>
          <cell r="I10">
            <v>0</v>
          </cell>
        </row>
      </sheetData>
      <sheetData sheetId="22">
        <row r="18">
          <cell r="H18">
            <v>5.931</v>
          </cell>
        </row>
        <row r="24">
          <cell r="H24">
            <v>29.952</v>
          </cell>
        </row>
        <row r="30">
          <cell r="H30">
            <v>1.42</v>
          </cell>
        </row>
        <row r="36">
          <cell r="H36">
            <v>1.31</v>
          </cell>
        </row>
        <row r="98">
          <cell r="H98">
            <v>5.93</v>
          </cell>
        </row>
        <row r="116">
          <cell r="H116">
            <v>30</v>
          </cell>
        </row>
        <row r="134">
          <cell r="H134">
            <v>1.4</v>
          </cell>
        </row>
        <row r="152">
          <cell r="H152">
            <v>1.3</v>
          </cell>
        </row>
      </sheetData>
      <sheetData sheetId="23">
        <row r="6">
          <cell r="C6" t="str">
            <v>Алтайский край</v>
          </cell>
          <cell r="K6" t="str">
            <v>Предложение организации</v>
          </cell>
        </row>
        <row r="7">
          <cell r="C7" t="str">
            <v>Амурская область</v>
          </cell>
          <cell r="K7" t="str">
            <v>Предложение регионального регулятора</v>
          </cell>
        </row>
        <row r="8">
          <cell r="C8" t="str">
            <v>Архангельская область</v>
          </cell>
        </row>
        <row r="9">
          <cell r="C9" t="str">
            <v>Астраханская область</v>
          </cell>
        </row>
        <row r="10">
          <cell r="C10" t="str">
            <v>Белгородская область</v>
          </cell>
        </row>
        <row r="11">
          <cell r="C11" t="str">
            <v>Брянская область</v>
          </cell>
        </row>
        <row r="12">
          <cell r="C12" t="str">
            <v>Владимирская область</v>
          </cell>
        </row>
        <row r="13">
          <cell r="C13" t="str">
            <v>Волгоградская область</v>
          </cell>
        </row>
        <row r="14">
          <cell r="C14" t="str">
            <v>Вологодская область</v>
          </cell>
        </row>
        <row r="15">
          <cell r="C15" t="str">
            <v>Воронежская область</v>
          </cell>
        </row>
        <row r="16">
          <cell r="C16" t="str">
            <v>г. Москва</v>
          </cell>
        </row>
        <row r="17">
          <cell r="C17" t="str">
            <v>г.Байконур</v>
          </cell>
        </row>
        <row r="18">
          <cell r="C18" t="str">
            <v>г.Санкт-Петербург</v>
          </cell>
        </row>
        <row r="19">
          <cell r="C19" t="str">
            <v>Еврейская автономная область</v>
          </cell>
        </row>
        <row r="20">
          <cell r="C20" t="str">
            <v>Забайкальский край</v>
          </cell>
        </row>
        <row r="21">
          <cell r="C21" t="str">
            <v>Ивановская область</v>
          </cell>
        </row>
        <row r="22">
          <cell r="C22" t="str">
            <v>Иркутская область</v>
          </cell>
        </row>
        <row r="23">
          <cell r="C23" t="str">
            <v>Кабардино-Балкарская республика</v>
          </cell>
        </row>
        <row r="24">
          <cell r="C24" t="str">
            <v>Калининградская область</v>
          </cell>
        </row>
        <row r="25">
          <cell r="C25" t="str">
            <v>Калужская область</v>
          </cell>
        </row>
        <row r="26">
          <cell r="C26" t="str">
            <v>Камчатский край</v>
          </cell>
        </row>
        <row r="27">
          <cell r="C27" t="str">
            <v>Карачаево-Черкесская республика</v>
          </cell>
        </row>
        <row r="28">
          <cell r="C28" t="str">
            <v>Кемеровская область</v>
          </cell>
        </row>
        <row r="29">
          <cell r="C29" t="str">
            <v>Кировская область</v>
          </cell>
        </row>
        <row r="30">
          <cell r="C30" t="str">
            <v>Костромская область</v>
          </cell>
        </row>
        <row r="31">
          <cell r="C31" t="str">
            <v>Краснодарский край</v>
          </cell>
        </row>
        <row r="32">
          <cell r="C32" t="str">
            <v>Красноярский край</v>
          </cell>
        </row>
        <row r="33">
          <cell r="C33" t="str">
            <v>Курганская область</v>
          </cell>
        </row>
        <row r="34">
          <cell r="C34" t="str">
            <v>Курская область</v>
          </cell>
        </row>
        <row r="35">
          <cell r="C35" t="str">
            <v>Ленинградская область</v>
          </cell>
        </row>
        <row r="36">
          <cell r="C36" t="str">
            <v>Липецкая область</v>
          </cell>
        </row>
        <row r="37">
          <cell r="C37" t="str">
            <v>Магаданская область</v>
          </cell>
        </row>
        <row r="38">
          <cell r="C38" t="str">
            <v>Московская область</v>
          </cell>
        </row>
        <row r="39">
          <cell r="C39" t="str">
            <v>Мурманская область</v>
          </cell>
        </row>
        <row r="40">
          <cell r="C40" t="str">
            <v>Ненецкий автономный округ</v>
          </cell>
        </row>
        <row r="41">
          <cell r="C41" t="str">
            <v>Нижегородская область</v>
          </cell>
        </row>
        <row r="42">
          <cell r="C42" t="str">
            <v>Новгородская область</v>
          </cell>
        </row>
        <row r="43">
          <cell r="C43" t="str">
            <v>Новосибирская область</v>
          </cell>
        </row>
        <row r="44">
          <cell r="C44" t="str">
            <v>Омская область</v>
          </cell>
        </row>
        <row r="45">
          <cell r="C45" t="str">
            <v>Оренбургская область</v>
          </cell>
        </row>
        <row r="46">
          <cell r="C46" t="str">
            <v>Орловская область</v>
          </cell>
        </row>
        <row r="47">
          <cell r="C47" t="str">
            <v>Пензенская область</v>
          </cell>
        </row>
        <row r="48">
          <cell r="C48" t="str">
            <v>Пермский край</v>
          </cell>
        </row>
        <row r="49">
          <cell r="C49" t="str">
            <v>Приморский край</v>
          </cell>
        </row>
        <row r="50">
          <cell r="C50" t="str">
            <v>Псковская область</v>
          </cell>
        </row>
        <row r="51">
          <cell r="C51" t="str">
            <v>Республика Адыгея</v>
          </cell>
        </row>
        <row r="52">
          <cell r="C52" t="str">
            <v>Республика Алтай</v>
          </cell>
        </row>
        <row r="53">
          <cell r="C53" t="str">
            <v>Республика Башкортостан</v>
          </cell>
        </row>
        <row r="54">
          <cell r="C54" t="str">
            <v>Республика Бурятия</v>
          </cell>
        </row>
        <row r="55">
          <cell r="C55" t="str">
            <v>Республика Дагестан</v>
          </cell>
        </row>
        <row r="56">
          <cell r="C56" t="str">
            <v>Республика Ингушетия</v>
          </cell>
        </row>
        <row r="57">
          <cell r="C57" t="str">
            <v>Республика Калмыкия</v>
          </cell>
        </row>
        <row r="58">
          <cell r="C58" t="str">
            <v>Республика Карелия</v>
          </cell>
        </row>
        <row r="59">
          <cell r="C59" t="str">
            <v>Республика Коми</v>
          </cell>
        </row>
        <row r="60">
          <cell r="C60" t="str">
            <v>Республика Марий Эл</v>
          </cell>
        </row>
        <row r="61">
          <cell r="C61" t="str">
            <v>Республика Мордовия</v>
          </cell>
        </row>
        <row r="62">
          <cell r="C62" t="str">
            <v>Республика Саха (Якутия)</v>
          </cell>
        </row>
        <row r="63">
          <cell r="C63" t="str">
            <v>Республика Северная Осетия-Алания</v>
          </cell>
        </row>
        <row r="64">
          <cell r="C64" t="str">
            <v>Республика Татарстан</v>
          </cell>
        </row>
        <row r="65">
          <cell r="C65" t="str">
            <v>Республика Тыва</v>
          </cell>
        </row>
        <row r="66">
          <cell r="C66" t="str">
            <v>Республика Хакасия</v>
          </cell>
        </row>
        <row r="67">
          <cell r="C67" t="str">
            <v>Ростовская область</v>
          </cell>
        </row>
        <row r="68">
          <cell r="C68" t="str">
            <v>Рязанская область</v>
          </cell>
        </row>
        <row r="69">
          <cell r="C69" t="str">
            <v>Самарская область</v>
          </cell>
        </row>
        <row r="70">
          <cell r="C70" t="str">
            <v>Саратовская область</v>
          </cell>
        </row>
        <row r="71">
          <cell r="C71" t="str">
            <v>Сахалинская область</v>
          </cell>
        </row>
        <row r="72">
          <cell r="C72" t="str">
            <v>Свердловская область</v>
          </cell>
        </row>
        <row r="73">
          <cell r="C73" t="str">
            <v>Смоленская область</v>
          </cell>
        </row>
        <row r="74">
          <cell r="C74" t="str">
            <v>Ставропольский край</v>
          </cell>
        </row>
        <row r="75">
          <cell r="C75" t="str">
            <v>Тамбовская область</v>
          </cell>
        </row>
        <row r="76">
          <cell r="C76" t="str">
            <v>Тверская область</v>
          </cell>
        </row>
        <row r="77">
          <cell r="C77" t="str">
            <v>Томская область</v>
          </cell>
        </row>
        <row r="78">
          <cell r="C78" t="str">
            <v>Тульская область</v>
          </cell>
        </row>
        <row r="79">
          <cell r="C79" t="str">
            <v>Тюменская область</v>
          </cell>
        </row>
        <row r="80">
          <cell r="C80" t="str">
            <v>Удмуртская республика</v>
          </cell>
        </row>
        <row r="81">
          <cell r="C81" t="str">
            <v>Ульяновская область</v>
          </cell>
        </row>
        <row r="82">
          <cell r="C82" t="str">
            <v>Хабаровский край</v>
          </cell>
        </row>
        <row r="83">
          <cell r="C83" t="str">
            <v>Ханты-Мансийский автономный округ</v>
          </cell>
        </row>
        <row r="84">
          <cell r="C84" t="str">
            <v>Челябинская область</v>
          </cell>
        </row>
        <row r="85">
          <cell r="C85" t="str">
            <v>Чеченская республика</v>
          </cell>
        </row>
        <row r="86">
          <cell r="C86" t="str">
            <v>Чувашская республика</v>
          </cell>
        </row>
        <row r="87">
          <cell r="C87" t="str">
            <v>Чукотский автономный округ</v>
          </cell>
        </row>
        <row r="88">
          <cell r="C88" t="str">
            <v>Ямало-Ненецкий автономный округ</v>
          </cell>
        </row>
        <row r="89">
          <cell r="C89" t="str">
            <v>Ярославская область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9"/>
  <dimension ref="A1:H17"/>
  <sheetViews>
    <sheetView zoomScalePageLayoutView="0" workbookViewId="0" topLeftCell="A1">
      <selection activeCell="D21" sqref="D21"/>
    </sheetView>
  </sheetViews>
  <sheetFormatPr defaultColWidth="9.140625" defaultRowHeight="11.25"/>
  <sheetData>
    <row r="1" ht="11.25">
      <c r="A1" t="s">
        <v>13</v>
      </c>
    </row>
    <row r="4" ht="11.25">
      <c r="C4" s="15"/>
    </row>
    <row r="10" spans="4:8" ht="11.25">
      <c r="D10" s="16"/>
      <c r="E10" s="16"/>
      <c r="F10" s="16"/>
      <c r="G10" s="16"/>
      <c r="H10" s="16"/>
    </row>
    <row r="11" spans="4:8" ht="11.25">
      <c r="D11" s="16"/>
      <c r="E11" s="16"/>
      <c r="F11" s="16"/>
      <c r="G11" s="16"/>
      <c r="H11" s="16"/>
    </row>
    <row r="12" spans="4:8" ht="11.25">
      <c r="D12" s="16"/>
      <c r="E12" s="16"/>
      <c r="F12" s="16"/>
      <c r="G12" s="16"/>
      <c r="H12" s="16"/>
    </row>
    <row r="13" spans="4:8" ht="11.25">
      <c r="D13" s="16"/>
      <c r="E13" s="16"/>
      <c r="F13" s="16"/>
      <c r="G13" s="16"/>
      <c r="H13" s="16"/>
    </row>
    <row r="14" spans="4:8" ht="11.25">
      <c r="D14" s="16"/>
      <c r="E14" s="16"/>
      <c r="F14" s="16"/>
      <c r="G14" s="16"/>
      <c r="H14" s="16"/>
    </row>
    <row r="15" spans="4:8" ht="11.25">
      <c r="D15" s="16"/>
      <c r="E15" s="16"/>
      <c r="F15" s="16"/>
      <c r="G15" s="16"/>
      <c r="H15" s="16"/>
    </row>
    <row r="16" spans="4:8" ht="11.25">
      <c r="D16" s="16"/>
      <c r="E16" s="16"/>
      <c r="F16" s="16"/>
      <c r="G16" s="16"/>
      <c r="H16" s="16"/>
    </row>
    <row r="17" spans="4:8" ht="11.25">
      <c r="D17" s="16"/>
      <c r="E17" s="16"/>
      <c r="F17" s="16"/>
      <c r="G17" s="16"/>
      <c r="H17" s="16"/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58"/>
  <sheetViews>
    <sheetView view="pageBreakPreview" zoomScaleSheetLayoutView="100" zoomScalePageLayoutView="0" workbookViewId="0" topLeftCell="A19">
      <selection activeCell="C56" sqref="C56:K58"/>
    </sheetView>
  </sheetViews>
  <sheetFormatPr defaultColWidth="9.140625" defaultRowHeight="11.25"/>
  <cols>
    <col min="1" max="1" width="4.8515625" style="576" customWidth="1"/>
    <col min="2" max="2" width="0.5625" style="576" customWidth="1"/>
    <col min="3" max="3" width="32.00390625" style="576" customWidth="1"/>
    <col min="4" max="4" width="10.421875" style="576" customWidth="1"/>
    <col min="5" max="5" width="8.00390625" style="576" customWidth="1"/>
    <col min="6" max="7" width="11.421875" style="576" customWidth="1"/>
    <col min="8" max="8" width="10.28125" style="576" customWidth="1"/>
    <col min="9" max="9" width="10.421875" style="576" customWidth="1"/>
    <col min="10" max="10" width="8.421875" style="576" customWidth="1"/>
    <col min="11" max="11" width="11.57421875" style="576" customWidth="1"/>
    <col min="12" max="12" width="11.28125" style="576" customWidth="1"/>
    <col min="13" max="13" width="10.8515625" style="576" customWidth="1"/>
    <col min="14" max="14" width="14.8515625" style="576" customWidth="1"/>
    <col min="15" max="15" width="7.57421875" style="576" customWidth="1"/>
    <col min="16" max="16" width="4.140625" style="576" customWidth="1"/>
    <col min="17" max="17" width="5.140625" style="576" customWidth="1"/>
    <col min="18" max="18" width="6.00390625" style="576" customWidth="1"/>
    <col min="19" max="19" width="7.140625" style="576" customWidth="1"/>
    <col min="20" max="16384" width="9.140625" style="576" customWidth="1"/>
  </cols>
  <sheetData>
    <row r="1" ht="15">
      <c r="S1" s="577" t="s">
        <v>1256</v>
      </c>
    </row>
    <row r="3" spans="1:19" ht="16.5">
      <c r="A3" s="805" t="s">
        <v>1257</v>
      </c>
      <c r="B3" s="805"/>
      <c r="C3" s="805"/>
      <c r="D3" s="805"/>
      <c r="E3" s="805"/>
      <c r="F3" s="805"/>
      <c r="G3" s="805"/>
      <c r="H3" s="805"/>
      <c r="I3" s="805"/>
      <c r="J3" s="805"/>
      <c r="K3" s="805"/>
      <c r="L3" s="805"/>
      <c r="M3" s="805"/>
      <c r="N3" s="805"/>
      <c r="O3" s="805"/>
      <c r="P3" s="805"/>
      <c r="Q3" s="805"/>
      <c r="R3" s="805"/>
      <c r="S3" s="805"/>
    </row>
    <row r="4" spans="1:19" ht="16.5">
      <c r="A4" s="805" t="s">
        <v>1258</v>
      </c>
      <c r="B4" s="805"/>
      <c r="C4" s="805"/>
      <c r="D4" s="805"/>
      <c r="E4" s="805"/>
      <c r="F4" s="805"/>
      <c r="G4" s="805"/>
      <c r="H4" s="805"/>
      <c r="I4" s="805"/>
      <c r="J4" s="805"/>
      <c r="K4" s="805"/>
      <c r="L4" s="805"/>
      <c r="M4" s="805"/>
      <c r="N4" s="805"/>
      <c r="O4" s="805"/>
      <c r="P4" s="805"/>
      <c r="Q4" s="805"/>
      <c r="R4" s="805"/>
      <c r="S4" s="805"/>
    </row>
    <row r="6" spans="1:19" ht="30" customHeight="1">
      <c r="A6" s="798" t="s">
        <v>1259</v>
      </c>
      <c r="B6" s="806" t="s">
        <v>1260</v>
      </c>
      <c r="C6" s="807"/>
      <c r="D6" s="800" t="s">
        <v>1261</v>
      </c>
      <c r="E6" s="801"/>
      <c r="F6" s="801"/>
      <c r="G6" s="801"/>
      <c r="H6" s="802"/>
      <c r="I6" s="800" t="s">
        <v>1262</v>
      </c>
      <c r="J6" s="801"/>
      <c r="K6" s="801"/>
      <c r="L6" s="801"/>
      <c r="M6" s="802"/>
      <c r="N6" s="798" t="s">
        <v>1263</v>
      </c>
      <c r="O6" s="800" t="s">
        <v>1264</v>
      </c>
      <c r="P6" s="801"/>
      <c r="Q6" s="801"/>
      <c r="R6" s="801"/>
      <c r="S6" s="802"/>
    </row>
    <row r="7" spans="1:19" ht="15">
      <c r="A7" s="799"/>
      <c r="B7" s="808"/>
      <c r="C7" s="809"/>
      <c r="D7" s="578" t="s">
        <v>1222</v>
      </c>
      <c r="E7" s="578" t="s">
        <v>28</v>
      </c>
      <c r="F7" s="578" t="s">
        <v>29</v>
      </c>
      <c r="G7" s="578" t="s">
        <v>1265</v>
      </c>
      <c r="H7" s="578" t="s">
        <v>31</v>
      </c>
      <c r="I7" s="578" t="s">
        <v>1222</v>
      </c>
      <c r="J7" s="578" t="s">
        <v>28</v>
      </c>
      <c r="K7" s="578" t="s">
        <v>29</v>
      </c>
      <c r="L7" s="578" t="s">
        <v>1265</v>
      </c>
      <c r="M7" s="578" t="s">
        <v>31</v>
      </c>
      <c r="N7" s="799"/>
      <c r="O7" s="578" t="s">
        <v>1222</v>
      </c>
      <c r="P7" s="578" t="s">
        <v>28</v>
      </c>
      <c r="Q7" s="578" t="s">
        <v>29</v>
      </c>
      <c r="R7" s="578" t="s">
        <v>1265</v>
      </c>
      <c r="S7" s="578" t="s">
        <v>31</v>
      </c>
    </row>
    <row r="8" spans="1:19" ht="15">
      <c r="A8" s="578">
        <v>1</v>
      </c>
      <c r="B8" s="803">
        <v>2</v>
      </c>
      <c r="C8" s="804"/>
      <c r="D8" s="578">
        <v>3</v>
      </c>
      <c r="E8" s="578">
        <v>4</v>
      </c>
      <c r="F8" s="578">
        <v>5</v>
      </c>
      <c r="G8" s="578">
        <v>6</v>
      </c>
      <c r="H8" s="578">
        <v>7</v>
      </c>
      <c r="I8" s="578">
        <v>8</v>
      </c>
      <c r="J8" s="578">
        <v>9</v>
      </c>
      <c r="K8" s="578">
        <v>10</v>
      </c>
      <c r="L8" s="578">
        <v>11</v>
      </c>
      <c r="M8" s="578">
        <v>12</v>
      </c>
      <c r="N8" s="578">
        <v>13</v>
      </c>
      <c r="O8" s="578">
        <v>14</v>
      </c>
      <c r="P8" s="578">
        <v>15</v>
      </c>
      <c r="Q8" s="578">
        <v>16</v>
      </c>
      <c r="R8" s="578">
        <v>17</v>
      </c>
      <c r="S8" s="578">
        <v>18</v>
      </c>
    </row>
    <row r="9" spans="1:19" ht="15">
      <c r="A9" s="795" t="s">
        <v>1304</v>
      </c>
      <c r="B9" s="796"/>
      <c r="C9" s="796"/>
      <c r="D9" s="796"/>
      <c r="E9" s="796"/>
      <c r="F9" s="796"/>
      <c r="G9" s="796"/>
      <c r="H9" s="796"/>
      <c r="I9" s="796"/>
      <c r="J9" s="796"/>
      <c r="K9" s="796"/>
      <c r="L9" s="796"/>
      <c r="M9" s="796"/>
      <c r="N9" s="796"/>
      <c r="O9" s="796"/>
      <c r="P9" s="796"/>
      <c r="Q9" s="796"/>
      <c r="R9" s="796"/>
      <c r="S9" s="797"/>
    </row>
    <row r="10" spans="1:19" ht="15">
      <c r="A10" s="579">
        <v>1</v>
      </c>
      <c r="B10" s="580"/>
      <c r="C10" s="581" t="s">
        <v>1266</v>
      </c>
      <c r="D10" s="713">
        <f>SUM(E10:H10)</f>
        <v>0</v>
      </c>
      <c r="E10" s="619"/>
      <c r="F10" s="713"/>
      <c r="G10" s="713"/>
      <c r="H10" s="713"/>
      <c r="I10" s="713">
        <f>SUM(J10:M10)</f>
        <v>0</v>
      </c>
      <c r="J10" s="619"/>
      <c r="K10" s="713"/>
      <c r="L10" s="713"/>
      <c r="M10" s="713"/>
      <c r="N10" s="619"/>
      <c r="O10" s="619"/>
      <c r="P10" s="619"/>
      <c r="Q10" s="619"/>
      <c r="R10" s="619"/>
      <c r="S10" s="619"/>
    </row>
    <row r="11" spans="1:19" ht="15">
      <c r="A11" s="579"/>
      <c r="B11" s="580"/>
      <c r="C11" s="581" t="s">
        <v>1267</v>
      </c>
      <c r="D11" s="713">
        <f aca="true" t="shared" si="0" ref="D11:D17">SUM(E11:H11)</f>
        <v>0</v>
      </c>
      <c r="E11" s="619"/>
      <c r="F11" s="713"/>
      <c r="G11" s="713"/>
      <c r="H11" s="713"/>
      <c r="I11" s="713">
        <f aca="true" t="shared" si="1" ref="I11:I17">SUM(J11:M11)</f>
        <v>0</v>
      </c>
      <c r="J11" s="619"/>
      <c r="K11" s="713"/>
      <c r="L11" s="713"/>
      <c r="M11" s="713"/>
      <c r="N11" s="619"/>
      <c r="O11" s="619"/>
      <c r="P11" s="619"/>
      <c r="Q11" s="619"/>
      <c r="R11" s="619"/>
      <c r="S11" s="619"/>
    </row>
    <row r="12" spans="1:19" ht="15">
      <c r="A12" s="579"/>
      <c r="B12" s="580"/>
      <c r="C12" s="581" t="s">
        <v>1268</v>
      </c>
      <c r="D12" s="713">
        <f t="shared" si="0"/>
        <v>0</v>
      </c>
      <c r="E12" s="619"/>
      <c r="F12" s="713"/>
      <c r="G12" s="713"/>
      <c r="H12" s="713"/>
      <c r="I12" s="713">
        <f t="shared" si="1"/>
        <v>0</v>
      </c>
      <c r="J12" s="619"/>
      <c r="K12" s="713"/>
      <c r="L12" s="713"/>
      <c r="M12" s="713"/>
      <c r="N12" s="619"/>
      <c r="O12" s="619"/>
      <c r="P12" s="619"/>
      <c r="Q12" s="619"/>
      <c r="R12" s="619"/>
      <c r="S12" s="619"/>
    </row>
    <row r="13" spans="1:19" ht="15">
      <c r="A13" s="579"/>
      <c r="B13" s="580"/>
      <c r="C13" s="581" t="s">
        <v>1269</v>
      </c>
      <c r="D13" s="713">
        <f t="shared" si="0"/>
        <v>0</v>
      </c>
      <c r="E13" s="619"/>
      <c r="F13" s="713"/>
      <c r="G13" s="713"/>
      <c r="H13" s="713"/>
      <c r="I13" s="713">
        <f t="shared" si="1"/>
        <v>0</v>
      </c>
      <c r="J13" s="619"/>
      <c r="K13" s="713"/>
      <c r="L13" s="713"/>
      <c r="M13" s="713"/>
      <c r="N13" s="619"/>
      <c r="O13" s="619"/>
      <c r="P13" s="619"/>
      <c r="Q13" s="619"/>
      <c r="R13" s="619"/>
      <c r="S13" s="619"/>
    </row>
    <row r="14" spans="1:19" ht="15">
      <c r="A14" s="579">
        <v>2</v>
      </c>
      <c r="B14" s="580"/>
      <c r="C14" s="581" t="s">
        <v>1270</v>
      </c>
      <c r="D14" s="713">
        <f t="shared" si="0"/>
        <v>38.613</v>
      </c>
      <c r="E14" s="619"/>
      <c r="F14" s="713"/>
      <c r="G14" s="713"/>
      <c r="H14" s="713">
        <v>38.613</v>
      </c>
      <c r="I14" s="713">
        <f t="shared" si="1"/>
        <v>7.88</v>
      </c>
      <c r="J14" s="619"/>
      <c r="K14" s="713"/>
      <c r="L14" s="713"/>
      <c r="M14" s="713">
        <v>7.88</v>
      </c>
      <c r="N14" s="714">
        <f>D14*1000/I14</f>
        <v>4900.1269035533</v>
      </c>
      <c r="O14" s="714">
        <f>Q14+R14+S14</f>
        <v>53.04297548385077</v>
      </c>
      <c r="P14" s="714"/>
      <c r="Q14" s="714"/>
      <c r="R14" s="714"/>
      <c r="S14" s="714">
        <f>H14*100/D17</f>
        <v>53.04297548385077</v>
      </c>
    </row>
    <row r="15" spans="1:19" ht="15">
      <c r="A15" s="579">
        <v>3</v>
      </c>
      <c r="B15" s="580"/>
      <c r="C15" s="581" t="s">
        <v>1271</v>
      </c>
      <c r="D15" s="713">
        <f t="shared" si="0"/>
        <v>34.18269</v>
      </c>
      <c r="E15" s="619"/>
      <c r="F15" s="713">
        <v>0.0018</v>
      </c>
      <c r="G15" s="713">
        <v>21.75159</v>
      </c>
      <c r="H15" s="713">
        <v>12.4293</v>
      </c>
      <c r="I15" s="713">
        <f t="shared" si="1"/>
        <v>4.515000000000001</v>
      </c>
      <c r="J15" s="619"/>
      <c r="K15" s="713">
        <v>0.003</v>
      </c>
      <c r="L15" s="713">
        <v>3.2</v>
      </c>
      <c r="M15" s="713">
        <v>1.312</v>
      </c>
      <c r="N15" s="714">
        <f>D15*1000/I15</f>
        <v>7570.9169435215945</v>
      </c>
      <c r="O15" s="714">
        <f>Q15+R15+S15</f>
        <v>46.95702451614925</v>
      </c>
      <c r="P15" s="714"/>
      <c r="Q15" s="715">
        <f>F15*100/D17</f>
        <v>0.0024726738629718328</v>
      </c>
      <c r="R15" s="714">
        <f>G15*100/D17</f>
        <v>29.880326706155273</v>
      </c>
      <c r="S15" s="714">
        <f>H15*100/D17</f>
        <v>17.074225136131002</v>
      </c>
    </row>
    <row r="16" spans="1:19" ht="30">
      <c r="A16" s="582" t="s">
        <v>1120</v>
      </c>
      <c r="B16" s="580"/>
      <c r="C16" s="581" t="s">
        <v>1272</v>
      </c>
      <c r="D16" s="713">
        <f t="shared" si="0"/>
        <v>6.9559999999999995</v>
      </c>
      <c r="E16" s="619"/>
      <c r="F16" s="713"/>
      <c r="G16" s="713">
        <v>2.459</v>
      </c>
      <c r="H16" s="713">
        <v>4.497</v>
      </c>
      <c r="I16" s="713">
        <f t="shared" si="1"/>
        <v>1.28</v>
      </c>
      <c r="J16" s="619"/>
      <c r="K16" s="713"/>
      <c r="L16" s="713">
        <v>0.38</v>
      </c>
      <c r="M16" s="713">
        <v>0.9</v>
      </c>
      <c r="N16" s="714">
        <f>D16*1000/I16</f>
        <v>5434.374999999999</v>
      </c>
      <c r="O16" s="714">
        <v>9</v>
      </c>
      <c r="P16" s="714"/>
      <c r="Q16" s="715"/>
      <c r="R16" s="714">
        <f>G16*100/D17</f>
        <v>3.377947238359854</v>
      </c>
      <c r="S16" s="714">
        <f>H16*100/D17</f>
        <v>6.177563534324629</v>
      </c>
    </row>
    <row r="17" spans="1:19" ht="15">
      <c r="A17" s="579" t="s">
        <v>397</v>
      </c>
      <c r="B17" s="580"/>
      <c r="C17" s="581" t="s">
        <v>562</v>
      </c>
      <c r="D17" s="713">
        <f t="shared" si="0"/>
        <v>72.79569</v>
      </c>
      <c r="E17" s="619">
        <f>E10+E14+E15</f>
        <v>0</v>
      </c>
      <c r="F17" s="713">
        <f aca="true" t="shared" si="2" ref="F17:M17">F10+F14+F15</f>
        <v>0.0018</v>
      </c>
      <c r="G17" s="713">
        <f t="shared" si="2"/>
        <v>21.75159</v>
      </c>
      <c r="H17" s="713">
        <f t="shared" si="2"/>
        <v>51.0423</v>
      </c>
      <c r="I17" s="713">
        <f t="shared" si="1"/>
        <v>12.395</v>
      </c>
      <c r="J17" s="619">
        <f t="shared" si="2"/>
        <v>0</v>
      </c>
      <c r="K17" s="713">
        <f t="shared" si="2"/>
        <v>0.003</v>
      </c>
      <c r="L17" s="713">
        <f t="shared" si="2"/>
        <v>3.2</v>
      </c>
      <c r="M17" s="713">
        <f t="shared" si="2"/>
        <v>9.192</v>
      </c>
      <c r="N17" s="714">
        <f>D17*1000/I17</f>
        <v>5872.988301734569</v>
      </c>
      <c r="O17" s="714">
        <f>SUM(O14:O15)</f>
        <v>100.00000000000001</v>
      </c>
      <c r="P17" s="714"/>
      <c r="Q17" s="715">
        <f>Q15</f>
        <v>0.0024726738629718328</v>
      </c>
      <c r="R17" s="714">
        <f>R15</f>
        <v>29.880326706155273</v>
      </c>
      <c r="S17" s="714">
        <f>S14+S15</f>
        <v>70.11720061998177</v>
      </c>
    </row>
    <row r="18" spans="1:19" ht="15">
      <c r="A18" s="795" t="s">
        <v>1305</v>
      </c>
      <c r="B18" s="796"/>
      <c r="C18" s="796"/>
      <c r="D18" s="796"/>
      <c r="E18" s="796"/>
      <c r="F18" s="796"/>
      <c r="G18" s="796"/>
      <c r="H18" s="796"/>
      <c r="I18" s="796"/>
      <c r="J18" s="796"/>
      <c r="K18" s="796"/>
      <c r="L18" s="796"/>
      <c r="M18" s="796"/>
      <c r="N18" s="796"/>
      <c r="O18" s="796"/>
      <c r="P18" s="796"/>
      <c r="Q18" s="796"/>
      <c r="R18" s="796"/>
      <c r="S18" s="797"/>
    </row>
    <row r="19" spans="1:19" ht="15">
      <c r="A19" s="579">
        <v>1</v>
      </c>
      <c r="B19" s="580"/>
      <c r="C19" s="581" t="s">
        <v>1266</v>
      </c>
      <c r="D19" s="713">
        <f>SUM(E19:H19)</f>
        <v>0</v>
      </c>
      <c r="E19" s="619"/>
      <c r="F19" s="713"/>
      <c r="G19" s="713"/>
      <c r="H19" s="713"/>
      <c r="I19" s="713">
        <f>SUM(J19:M19)</f>
        <v>0</v>
      </c>
      <c r="J19" s="619"/>
      <c r="K19" s="713"/>
      <c r="L19" s="713"/>
      <c r="M19" s="713"/>
      <c r="N19" s="578"/>
      <c r="O19" s="578"/>
      <c r="P19" s="578"/>
      <c r="Q19" s="578"/>
      <c r="R19" s="578"/>
      <c r="S19" s="578"/>
    </row>
    <row r="20" spans="1:19" ht="15">
      <c r="A20" s="579"/>
      <c r="B20" s="580"/>
      <c r="C20" s="581" t="s">
        <v>1267</v>
      </c>
      <c r="D20" s="713">
        <f aca="true" t="shared" si="3" ref="D20:D26">SUM(E20:H20)</f>
        <v>0</v>
      </c>
      <c r="E20" s="619"/>
      <c r="F20" s="713"/>
      <c r="G20" s="713"/>
      <c r="H20" s="713"/>
      <c r="I20" s="713">
        <f aca="true" t="shared" si="4" ref="I20:I26">SUM(J20:M20)</f>
        <v>0</v>
      </c>
      <c r="J20" s="619"/>
      <c r="K20" s="713"/>
      <c r="L20" s="713"/>
      <c r="M20" s="713"/>
      <c r="N20" s="578"/>
      <c r="O20" s="578"/>
      <c r="P20" s="578"/>
      <c r="Q20" s="578"/>
      <c r="R20" s="578"/>
      <c r="S20" s="578"/>
    </row>
    <row r="21" spans="1:19" ht="15">
      <c r="A21" s="579"/>
      <c r="B21" s="580"/>
      <c r="C21" s="581" t="s">
        <v>1268</v>
      </c>
      <c r="D21" s="713">
        <f t="shared" si="3"/>
        <v>0</v>
      </c>
      <c r="E21" s="619"/>
      <c r="F21" s="713"/>
      <c r="G21" s="713"/>
      <c r="H21" s="713"/>
      <c r="I21" s="713">
        <f t="shared" si="4"/>
        <v>0</v>
      </c>
      <c r="J21" s="619"/>
      <c r="K21" s="713"/>
      <c r="L21" s="713"/>
      <c r="M21" s="713"/>
      <c r="N21" s="578"/>
      <c r="O21" s="578"/>
      <c r="P21" s="578"/>
      <c r="Q21" s="578"/>
      <c r="R21" s="578"/>
      <c r="S21" s="578"/>
    </row>
    <row r="22" spans="1:19" ht="15">
      <c r="A22" s="579"/>
      <c r="B22" s="580"/>
      <c r="C22" s="581" t="s">
        <v>1269</v>
      </c>
      <c r="D22" s="713">
        <f t="shared" si="3"/>
        <v>0</v>
      </c>
      <c r="E22" s="619"/>
      <c r="F22" s="713"/>
      <c r="G22" s="713"/>
      <c r="H22" s="713"/>
      <c r="I22" s="713">
        <f t="shared" si="4"/>
        <v>0</v>
      </c>
      <c r="J22" s="619"/>
      <c r="K22" s="713"/>
      <c r="L22" s="713"/>
      <c r="M22" s="713"/>
      <c r="N22" s="578"/>
      <c r="O22" s="578"/>
      <c r="P22" s="578"/>
      <c r="Q22" s="578"/>
      <c r="R22" s="578"/>
      <c r="S22" s="578"/>
    </row>
    <row r="23" spans="1:19" ht="15">
      <c r="A23" s="579">
        <v>2</v>
      </c>
      <c r="B23" s="580"/>
      <c r="C23" s="581" t="s">
        <v>1270</v>
      </c>
      <c r="D23" s="713">
        <f t="shared" si="3"/>
        <v>36.7</v>
      </c>
      <c r="E23" s="619"/>
      <c r="F23" s="713"/>
      <c r="G23" s="713"/>
      <c r="H23" s="713">
        <v>36.7</v>
      </c>
      <c r="I23" s="713">
        <f t="shared" si="4"/>
        <v>7.48</v>
      </c>
      <c r="J23" s="619"/>
      <c r="K23" s="713"/>
      <c r="L23" s="713"/>
      <c r="M23" s="713">
        <v>7.48</v>
      </c>
      <c r="N23" s="578">
        <v>4906</v>
      </c>
      <c r="O23" s="714">
        <v>49.608</v>
      </c>
      <c r="P23" s="714"/>
      <c r="Q23" s="714"/>
      <c r="R23" s="714"/>
      <c r="S23" s="714">
        <v>49.608</v>
      </c>
    </row>
    <row r="24" spans="1:19" ht="15">
      <c r="A24" s="579">
        <v>3</v>
      </c>
      <c r="B24" s="580"/>
      <c r="C24" s="581" t="s">
        <v>1271</v>
      </c>
      <c r="D24" s="713">
        <f t="shared" si="3"/>
        <v>37.28</v>
      </c>
      <c r="E24" s="619"/>
      <c r="F24" s="713"/>
      <c r="G24" s="713">
        <v>21.9</v>
      </c>
      <c r="H24" s="713">
        <v>15.38</v>
      </c>
      <c r="I24" s="713">
        <f t="shared" si="4"/>
        <v>4.635</v>
      </c>
      <c r="J24" s="619"/>
      <c r="K24" s="713"/>
      <c r="L24" s="713">
        <v>3.19</v>
      </c>
      <c r="M24" s="713">
        <v>1.445</v>
      </c>
      <c r="N24" s="578">
        <v>8042</v>
      </c>
      <c r="O24" s="714">
        <v>50.392</v>
      </c>
      <c r="P24" s="714"/>
      <c r="Q24" s="714"/>
      <c r="R24" s="714">
        <v>29.6026</v>
      </c>
      <c r="S24" s="714">
        <v>20.7894</v>
      </c>
    </row>
    <row r="25" spans="1:19" ht="30">
      <c r="A25" s="582" t="s">
        <v>1120</v>
      </c>
      <c r="B25" s="580"/>
      <c r="C25" s="581" t="s">
        <v>1272</v>
      </c>
      <c r="D25" s="713">
        <f t="shared" si="3"/>
        <v>7.21</v>
      </c>
      <c r="E25" s="619"/>
      <c r="F25" s="713"/>
      <c r="G25" s="713">
        <v>2.63</v>
      </c>
      <c r="H25" s="713">
        <v>4.58</v>
      </c>
      <c r="I25" s="713">
        <f t="shared" si="4"/>
        <v>1.28</v>
      </c>
      <c r="J25" s="619"/>
      <c r="K25" s="713"/>
      <c r="L25" s="713">
        <v>0.38</v>
      </c>
      <c r="M25" s="713">
        <v>0.9</v>
      </c>
      <c r="N25" s="578">
        <v>5633</v>
      </c>
      <c r="O25" s="714">
        <v>9.7459</v>
      </c>
      <c r="P25" s="714"/>
      <c r="Q25" s="714"/>
      <c r="R25" s="714">
        <v>3.555</v>
      </c>
      <c r="S25" s="714">
        <v>6.1909</v>
      </c>
    </row>
    <row r="26" spans="1:19" ht="15">
      <c r="A26" s="579" t="s">
        <v>397</v>
      </c>
      <c r="B26" s="580"/>
      <c r="C26" s="581" t="s">
        <v>562</v>
      </c>
      <c r="D26" s="713">
        <f t="shared" si="3"/>
        <v>73.98</v>
      </c>
      <c r="E26" s="619">
        <f>E19+E23+E24</f>
        <v>0</v>
      </c>
      <c r="F26" s="713">
        <f>F19+F23+F24</f>
        <v>0</v>
      </c>
      <c r="G26" s="713">
        <f>G19+G23+G24</f>
        <v>21.9</v>
      </c>
      <c r="H26" s="713">
        <f>H19+H23+H24</f>
        <v>52.080000000000005</v>
      </c>
      <c r="I26" s="713">
        <f t="shared" si="4"/>
        <v>12.115</v>
      </c>
      <c r="J26" s="619">
        <f>J19+J23+J24</f>
        <v>0</v>
      </c>
      <c r="K26" s="713">
        <f>K19+K23+K24</f>
        <v>0</v>
      </c>
      <c r="L26" s="713">
        <f>L19+L23+L24</f>
        <v>3.19</v>
      </c>
      <c r="M26" s="713">
        <f>M19+M23+M24</f>
        <v>8.925</v>
      </c>
      <c r="N26" s="578">
        <v>6106</v>
      </c>
      <c r="O26" s="714">
        <v>100</v>
      </c>
      <c r="P26" s="714"/>
      <c r="Q26" s="714"/>
      <c r="R26" s="714">
        <v>29.6026</v>
      </c>
      <c r="S26" s="714">
        <v>70.3974</v>
      </c>
    </row>
    <row r="27" spans="1:19" ht="15">
      <c r="A27" s="795" t="s">
        <v>1312</v>
      </c>
      <c r="B27" s="796"/>
      <c r="C27" s="796"/>
      <c r="D27" s="796"/>
      <c r="E27" s="796"/>
      <c r="F27" s="796"/>
      <c r="G27" s="796"/>
      <c r="H27" s="796"/>
      <c r="I27" s="796"/>
      <c r="J27" s="796"/>
      <c r="K27" s="796"/>
      <c r="L27" s="796"/>
      <c r="M27" s="796"/>
      <c r="N27" s="796"/>
      <c r="O27" s="796"/>
      <c r="P27" s="796"/>
      <c r="Q27" s="796"/>
      <c r="R27" s="796"/>
      <c r="S27" s="797"/>
    </row>
    <row r="28" spans="1:19" ht="15">
      <c r="A28" s="579">
        <v>1</v>
      </c>
      <c r="B28" s="580"/>
      <c r="C28" s="581" t="s">
        <v>1266</v>
      </c>
      <c r="D28" s="713">
        <f>SUM(E28:H28)</f>
        <v>0</v>
      </c>
      <c r="E28" s="619"/>
      <c r="F28" s="713"/>
      <c r="G28" s="713"/>
      <c r="H28" s="713"/>
      <c r="I28" s="713">
        <f>SUM(J28:M28)</f>
        <v>0</v>
      </c>
      <c r="J28" s="619"/>
      <c r="K28" s="713"/>
      <c r="L28" s="713"/>
      <c r="M28" s="713"/>
      <c r="N28" s="578"/>
      <c r="O28" s="578"/>
      <c r="P28" s="578"/>
      <c r="Q28" s="578"/>
      <c r="R28" s="578"/>
      <c r="S28" s="578"/>
    </row>
    <row r="29" spans="1:19" ht="15">
      <c r="A29" s="579"/>
      <c r="B29" s="580"/>
      <c r="C29" s="581" t="s">
        <v>1267</v>
      </c>
      <c r="D29" s="713">
        <f aca="true" t="shared" si="5" ref="D29:D35">SUM(E29:H29)</f>
        <v>0</v>
      </c>
      <c r="E29" s="619"/>
      <c r="F29" s="713"/>
      <c r="G29" s="713"/>
      <c r="H29" s="713"/>
      <c r="I29" s="713">
        <f aca="true" t="shared" si="6" ref="I29:I35">SUM(J29:M29)</f>
        <v>0</v>
      </c>
      <c r="J29" s="619"/>
      <c r="K29" s="713"/>
      <c r="L29" s="713"/>
      <c r="M29" s="713"/>
      <c r="N29" s="578"/>
      <c r="O29" s="578"/>
      <c r="P29" s="578"/>
      <c r="Q29" s="578"/>
      <c r="R29" s="578"/>
      <c r="S29" s="578"/>
    </row>
    <row r="30" spans="1:19" ht="15">
      <c r="A30" s="579"/>
      <c r="B30" s="580"/>
      <c r="C30" s="581" t="s">
        <v>1268</v>
      </c>
      <c r="D30" s="713">
        <f t="shared" si="5"/>
        <v>0</v>
      </c>
      <c r="E30" s="619"/>
      <c r="F30" s="713"/>
      <c r="G30" s="713"/>
      <c r="H30" s="713"/>
      <c r="I30" s="713">
        <f t="shared" si="6"/>
        <v>0</v>
      </c>
      <c r="J30" s="619"/>
      <c r="K30" s="713"/>
      <c r="L30" s="713"/>
      <c r="M30" s="713"/>
      <c r="N30" s="578"/>
      <c r="O30" s="578"/>
      <c r="P30" s="578"/>
      <c r="Q30" s="578"/>
      <c r="R30" s="578"/>
      <c r="S30" s="578"/>
    </row>
    <row r="31" spans="1:19" ht="15">
      <c r="A31" s="579"/>
      <c r="B31" s="580"/>
      <c r="C31" s="581" t="s">
        <v>1269</v>
      </c>
      <c r="D31" s="713">
        <f t="shared" si="5"/>
        <v>0</v>
      </c>
      <c r="E31" s="619"/>
      <c r="F31" s="713"/>
      <c r="G31" s="713"/>
      <c r="H31" s="713"/>
      <c r="I31" s="713">
        <f t="shared" si="6"/>
        <v>0</v>
      </c>
      <c r="J31" s="619"/>
      <c r="K31" s="713"/>
      <c r="L31" s="713"/>
      <c r="M31" s="713"/>
      <c r="N31" s="578"/>
      <c r="O31" s="578"/>
      <c r="P31" s="578"/>
      <c r="Q31" s="578"/>
      <c r="R31" s="578"/>
      <c r="S31" s="578"/>
    </row>
    <row r="32" spans="1:19" ht="15">
      <c r="A32" s="579">
        <v>2</v>
      </c>
      <c r="B32" s="580"/>
      <c r="C32" s="581" t="s">
        <v>1270</v>
      </c>
      <c r="D32" s="713">
        <f t="shared" si="5"/>
        <v>38.63</v>
      </c>
      <c r="E32" s="619"/>
      <c r="F32" s="713"/>
      <c r="G32" s="713"/>
      <c r="H32" s="713">
        <v>38.63</v>
      </c>
      <c r="I32" s="713">
        <f t="shared" si="6"/>
        <v>8.048</v>
      </c>
      <c r="J32" s="619"/>
      <c r="K32" s="713"/>
      <c r="L32" s="713"/>
      <c r="M32" s="713">
        <v>8.048</v>
      </c>
      <c r="N32" s="578">
        <v>4800</v>
      </c>
      <c r="O32" s="714">
        <f>S32</f>
        <v>49.60424849666255</v>
      </c>
      <c r="P32" s="714"/>
      <c r="Q32" s="714"/>
      <c r="R32" s="714"/>
      <c r="S32" s="714">
        <f>H32*100/D35</f>
        <v>49.60424849666255</v>
      </c>
    </row>
    <row r="33" spans="1:19" ht="15">
      <c r="A33" s="579">
        <v>3</v>
      </c>
      <c r="B33" s="580"/>
      <c r="C33" s="581" t="s">
        <v>1271</v>
      </c>
      <c r="D33" s="713">
        <f t="shared" si="5"/>
        <v>39.246393999999995</v>
      </c>
      <c r="E33" s="619"/>
      <c r="F33" s="713">
        <v>0.0216</v>
      </c>
      <c r="G33" s="713">
        <v>26.846</v>
      </c>
      <c r="H33" s="713">
        <v>12.378794</v>
      </c>
      <c r="I33" s="713">
        <f t="shared" si="6"/>
        <v>5.22</v>
      </c>
      <c r="J33" s="619"/>
      <c r="K33" s="713">
        <v>0.003</v>
      </c>
      <c r="L33" s="713">
        <v>4.044</v>
      </c>
      <c r="M33" s="713">
        <v>1.173</v>
      </c>
      <c r="N33" s="714">
        <f>D33/I33*1000</f>
        <v>7518.466283524903</v>
      </c>
      <c r="O33" s="714">
        <f>Q33+R33+S33</f>
        <v>50.39575150333745</v>
      </c>
      <c r="P33" s="714"/>
      <c r="Q33" s="715">
        <f>F33*100/D35</f>
        <v>0.027736261131967668</v>
      </c>
      <c r="R33" s="714">
        <f>G33*100/D35</f>
        <v>34.47257714577796</v>
      </c>
      <c r="S33" s="714">
        <f>H33*100/D35</f>
        <v>15.895438096427522</v>
      </c>
    </row>
    <row r="34" spans="1:19" ht="30">
      <c r="A34" s="582" t="s">
        <v>1120</v>
      </c>
      <c r="B34" s="580"/>
      <c r="C34" s="581" t="s">
        <v>1272</v>
      </c>
      <c r="D34" s="713">
        <f t="shared" si="5"/>
        <v>6.95</v>
      </c>
      <c r="E34" s="619"/>
      <c r="F34" s="713"/>
      <c r="G34" s="713">
        <v>2.45</v>
      </c>
      <c r="H34" s="713">
        <v>4.5</v>
      </c>
      <c r="I34" s="713">
        <f t="shared" si="6"/>
        <v>1.28</v>
      </c>
      <c r="J34" s="619"/>
      <c r="K34" s="713"/>
      <c r="L34" s="713">
        <v>0.38</v>
      </c>
      <c r="M34" s="713">
        <v>0.9</v>
      </c>
      <c r="N34" s="714">
        <f>D34/I34*1000</f>
        <v>5429.6875</v>
      </c>
      <c r="O34" s="714">
        <f>R34+S34</f>
        <v>8.924398836443299</v>
      </c>
      <c r="P34" s="714"/>
      <c r="Q34" s="715"/>
      <c r="R34" s="714">
        <f>G34*100/D35</f>
        <v>3.146011100616703</v>
      </c>
      <c r="S34" s="714">
        <f>H34*100/D35</f>
        <v>5.7783877358265965</v>
      </c>
    </row>
    <row r="35" spans="1:19" ht="15">
      <c r="A35" s="579" t="s">
        <v>397</v>
      </c>
      <c r="B35" s="580"/>
      <c r="C35" s="581" t="s">
        <v>562</v>
      </c>
      <c r="D35" s="713">
        <f t="shared" si="5"/>
        <v>77.876394</v>
      </c>
      <c r="E35" s="619">
        <f>E28+E32+E33</f>
        <v>0</v>
      </c>
      <c r="F35" s="713">
        <f>F28+F32+F33</f>
        <v>0.0216</v>
      </c>
      <c r="G35" s="713">
        <f>G28+G32+G33</f>
        <v>26.846</v>
      </c>
      <c r="H35" s="713">
        <f>H28+H32+H33</f>
        <v>51.008794</v>
      </c>
      <c r="I35" s="713">
        <f t="shared" si="6"/>
        <v>13.268</v>
      </c>
      <c r="J35" s="619">
        <f>J28+J32+J33</f>
        <v>0</v>
      </c>
      <c r="K35" s="713">
        <f>K28+K32+K33</f>
        <v>0.003</v>
      </c>
      <c r="L35" s="713">
        <f>L28+L32+L33</f>
        <v>4.044</v>
      </c>
      <c r="M35" s="713">
        <f>M28+M32+M33</f>
        <v>9.221</v>
      </c>
      <c r="N35" s="714">
        <f>D35/I35*1000</f>
        <v>5869.49005125113</v>
      </c>
      <c r="O35" s="714">
        <f>O32+O33</f>
        <v>100</v>
      </c>
      <c r="P35" s="714"/>
      <c r="Q35" s="715">
        <f>Q33</f>
        <v>0.027736261131967668</v>
      </c>
      <c r="R35" s="714">
        <f>R33</f>
        <v>34.47257714577796</v>
      </c>
      <c r="S35" s="714">
        <v>66</v>
      </c>
    </row>
    <row r="36" spans="1:19" ht="15">
      <c r="A36" s="795" t="s">
        <v>1309</v>
      </c>
      <c r="B36" s="796"/>
      <c r="C36" s="796"/>
      <c r="D36" s="796"/>
      <c r="E36" s="796"/>
      <c r="F36" s="796"/>
      <c r="G36" s="796"/>
      <c r="H36" s="796"/>
      <c r="I36" s="796"/>
      <c r="J36" s="796"/>
      <c r="K36" s="796"/>
      <c r="L36" s="796"/>
      <c r="M36" s="796"/>
      <c r="N36" s="796"/>
      <c r="O36" s="796"/>
      <c r="P36" s="796"/>
      <c r="Q36" s="796"/>
      <c r="R36" s="796"/>
      <c r="S36" s="797"/>
    </row>
    <row r="37" spans="1:19" ht="15">
      <c r="A37" s="579">
        <v>1</v>
      </c>
      <c r="B37" s="580"/>
      <c r="C37" s="581" t="s">
        <v>1266</v>
      </c>
      <c r="D37" s="713">
        <f>SUM(E37:H37)</f>
        <v>0</v>
      </c>
      <c r="E37" s="619"/>
      <c r="F37" s="713"/>
      <c r="G37" s="713"/>
      <c r="H37" s="713"/>
      <c r="I37" s="713">
        <f>SUM(J37:M37)</f>
        <v>0</v>
      </c>
      <c r="J37" s="619"/>
      <c r="K37" s="713"/>
      <c r="L37" s="713"/>
      <c r="M37" s="713"/>
      <c r="N37" s="578"/>
      <c r="O37" s="578"/>
      <c r="P37" s="578"/>
      <c r="Q37" s="578"/>
      <c r="R37" s="578"/>
      <c r="S37" s="578"/>
    </row>
    <row r="38" spans="1:19" ht="15">
      <c r="A38" s="579"/>
      <c r="B38" s="580"/>
      <c r="C38" s="581" t="s">
        <v>1267</v>
      </c>
      <c r="D38" s="713">
        <f aca="true" t="shared" si="7" ref="D38:D44">SUM(E38:H38)</f>
        <v>0</v>
      </c>
      <c r="E38" s="619"/>
      <c r="F38" s="713"/>
      <c r="G38" s="713"/>
      <c r="H38" s="713"/>
      <c r="I38" s="713">
        <f aca="true" t="shared" si="8" ref="I38:I44">SUM(J38:M38)</f>
        <v>0</v>
      </c>
      <c r="J38" s="619"/>
      <c r="K38" s="713"/>
      <c r="L38" s="713"/>
      <c r="M38" s="713"/>
      <c r="N38" s="578"/>
      <c r="O38" s="578"/>
      <c r="P38" s="578"/>
      <c r="Q38" s="578"/>
      <c r="R38" s="578"/>
      <c r="S38" s="578"/>
    </row>
    <row r="39" spans="1:19" ht="15">
      <c r="A39" s="579"/>
      <c r="B39" s="580"/>
      <c r="C39" s="581" t="s">
        <v>1268</v>
      </c>
      <c r="D39" s="713">
        <f t="shared" si="7"/>
        <v>0</v>
      </c>
      <c r="E39" s="619"/>
      <c r="F39" s="713"/>
      <c r="G39" s="713"/>
      <c r="H39" s="713"/>
      <c r="I39" s="713">
        <f t="shared" si="8"/>
        <v>0</v>
      </c>
      <c r="J39" s="619"/>
      <c r="K39" s="713"/>
      <c r="L39" s="713"/>
      <c r="M39" s="713"/>
      <c r="N39" s="578"/>
      <c r="O39" s="578"/>
      <c r="P39" s="578"/>
      <c r="Q39" s="578"/>
      <c r="R39" s="578"/>
      <c r="S39" s="578"/>
    </row>
    <row r="40" spans="1:19" ht="15">
      <c r="A40" s="579"/>
      <c r="B40" s="580"/>
      <c r="C40" s="581" t="s">
        <v>1269</v>
      </c>
      <c r="D40" s="713">
        <f t="shared" si="7"/>
        <v>0</v>
      </c>
      <c r="E40" s="619"/>
      <c r="F40" s="713"/>
      <c r="G40" s="713"/>
      <c r="H40" s="713"/>
      <c r="I40" s="713">
        <f t="shared" si="8"/>
        <v>0</v>
      </c>
      <c r="J40" s="619"/>
      <c r="K40" s="713"/>
      <c r="L40" s="713"/>
      <c r="M40" s="713"/>
      <c r="N40" s="578"/>
      <c r="O40" s="578"/>
      <c r="P40" s="578"/>
      <c r="Q40" s="578"/>
      <c r="R40" s="578"/>
      <c r="S40" s="578"/>
    </row>
    <row r="41" spans="1:19" ht="15">
      <c r="A41" s="579">
        <v>2</v>
      </c>
      <c r="B41" s="580"/>
      <c r="C41" s="581" t="s">
        <v>1270</v>
      </c>
      <c r="D41" s="713">
        <f t="shared" si="7"/>
        <v>19.63</v>
      </c>
      <c r="E41" s="619"/>
      <c r="F41" s="713"/>
      <c r="G41" s="713"/>
      <c r="H41" s="713">
        <v>19.63</v>
      </c>
      <c r="I41" s="713">
        <f t="shared" si="8"/>
        <v>8.179</v>
      </c>
      <c r="J41" s="619"/>
      <c r="K41" s="713"/>
      <c r="L41" s="713"/>
      <c r="M41" s="713">
        <v>8.179</v>
      </c>
      <c r="N41" s="578">
        <v>2400</v>
      </c>
      <c r="O41" s="714">
        <f>S41</f>
        <v>49.70481090155386</v>
      </c>
      <c r="P41" s="714"/>
      <c r="Q41" s="714"/>
      <c r="R41" s="714"/>
      <c r="S41" s="714">
        <f>H41*100/D44</f>
        <v>49.70481090155386</v>
      </c>
    </row>
    <row r="42" spans="1:19" ht="15">
      <c r="A42" s="579">
        <v>3</v>
      </c>
      <c r="B42" s="580"/>
      <c r="C42" s="581" t="s">
        <v>1271</v>
      </c>
      <c r="D42" s="713">
        <f t="shared" si="7"/>
        <v>19.863159</v>
      </c>
      <c r="E42" s="619"/>
      <c r="F42" s="713">
        <v>0.0108</v>
      </c>
      <c r="G42" s="713">
        <v>14.642</v>
      </c>
      <c r="H42" s="713">
        <v>5.210359</v>
      </c>
      <c r="I42" s="713">
        <f t="shared" si="8"/>
        <v>5.367</v>
      </c>
      <c r="J42" s="619"/>
      <c r="K42" s="713">
        <v>0.003</v>
      </c>
      <c r="L42" s="713">
        <v>4.044</v>
      </c>
      <c r="M42" s="713">
        <v>1.32</v>
      </c>
      <c r="N42" s="714">
        <f>D42/I42*1000</f>
        <v>3700.9798770262714</v>
      </c>
      <c r="O42" s="714">
        <f>Q42+R42+S42</f>
        <v>50.295189098446144</v>
      </c>
      <c r="P42" s="714"/>
      <c r="Q42" s="715">
        <f>F42*100/D44</f>
        <v>0.027346508290207936</v>
      </c>
      <c r="R42" s="714">
        <f>G42*100/D44</f>
        <v>37.074775406039315</v>
      </c>
      <c r="S42" s="714">
        <f>H42*100/D44</f>
        <v>13.193067184116623</v>
      </c>
    </row>
    <row r="43" spans="1:19" ht="30">
      <c r="A43" s="582" t="s">
        <v>1120</v>
      </c>
      <c r="B43" s="580"/>
      <c r="C43" s="581" t="s">
        <v>1272</v>
      </c>
      <c r="D43" s="713">
        <f t="shared" si="7"/>
        <v>3.475</v>
      </c>
      <c r="E43" s="619"/>
      <c r="F43" s="713"/>
      <c r="G43" s="713">
        <v>1.225</v>
      </c>
      <c r="H43" s="713">
        <v>2.25</v>
      </c>
      <c r="I43" s="713">
        <f t="shared" si="8"/>
        <v>1.28</v>
      </c>
      <c r="J43" s="619"/>
      <c r="K43" s="713"/>
      <c r="L43" s="713">
        <v>0.38</v>
      </c>
      <c r="M43" s="713">
        <v>0.9</v>
      </c>
      <c r="N43" s="714">
        <f>D43/I43*1000</f>
        <v>2714.84375</v>
      </c>
      <c r="O43" s="714">
        <f>R43+S43</f>
        <v>8.798992250784497</v>
      </c>
      <c r="P43" s="714"/>
      <c r="Q43" s="715"/>
      <c r="R43" s="714">
        <f>G43*100/D44</f>
        <v>3.1018030236578444</v>
      </c>
      <c r="S43" s="714">
        <f>H43*100/D44</f>
        <v>5.697189227126652</v>
      </c>
    </row>
    <row r="44" spans="1:19" ht="15">
      <c r="A44" s="579" t="s">
        <v>397</v>
      </c>
      <c r="B44" s="580"/>
      <c r="C44" s="581" t="s">
        <v>562</v>
      </c>
      <c r="D44" s="713">
        <f t="shared" si="7"/>
        <v>39.493159</v>
      </c>
      <c r="E44" s="619">
        <f>E37+E41+E42</f>
        <v>0</v>
      </c>
      <c r="F44" s="713">
        <f>F37+F41+F42</f>
        <v>0.0108</v>
      </c>
      <c r="G44" s="713">
        <f>G37+G41+G42</f>
        <v>14.642</v>
      </c>
      <c r="H44" s="713">
        <f>H37+H41+H42</f>
        <v>24.840359</v>
      </c>
      <c r="I44" s="713">
        <f t="shared" si="8"/>
        <v>13.546</v>
      </c>
      <c r="J44" s="619">
        <f>J37+J41+J42</f>
        <v>0</v>
      </c>
      <c r="K44" s="713">
        <f>K37+K41+K42</f>
        <v>0.003</v>
      </c>
      <c r="L44" s="713">
        <f>L37+L41+L42</f>
        <v>4.044</v>
      </c>
      <c r="M44" s="713">
        <f>M37+M41+M42</f>
        <v>9.499</v>
      </c>
      <c r="N44" s="714">
        <f>D44/I44*1000</f>
        <v>2915.4849402037503</v>
      </c>
      <c r="O44" s="714">
        <f>O41+O42</f>
        <v>100</v>
      </c>
      <c r="P44" s="714"/>
      <c r="Q44" s="715">
        <f>Q42</f>
        <v>0.027346508290207936</v>
      </c>
      <c r="R44" s="714">
        <f>R42</f>
        <v>37.074775406039315</v>
      </c>
      <c r="S44" s="714">
        <f>S41+S42</f>
        <v>62.897878085670484</v>
      </c>
    </row>
    <row r="45" spans="1:19" ht="15">
      <c r="A45" s="795" t="s">
        <v>1310</v>
      </c>
      <c r="B45" s="796"/>
      <c r="C45" s="796"/>
      <c r="D45" s="796"/>
      <c r="E45" s="796"/>
      <c r="F45" s="796"/>
      <c r="G45" s="796"/>
      <c r="H45" s="796"/>
      <c r="I45" s="796"/>
      <c r="J45" s="796"/>
      <c r="K45" s="796"/>
      <c r="L45" s="796"/>
      <c r="M45" s="796"/>
      <c r="N45" s="796"/>
      <c r="O45" s="796"/>
      <c r="P45" s="796"/>
      <c r="Q45" s="796"/>
      <c r="R45" s="796"/>
      <c r="S45" s="797"/>
    </row>
    <row r="46" spans="1:19" ht="15">
      <c r="A46" s="579">
        <v>1</v>
      </c>
      <c r="B46" s="580"/>
      <c r="C46" s="581" t="s">
        <v>1266</v>
      </c>
      <c r="D46" s="713">
        <f>SUM(E46:H46)</f>
        <v>0</v>
      </c>
      <c r="E46" s="619"/>
      <c r="F46" s="713"/>
      <c r="G46" s="713"/>
      <c r="H46" s="713"/>
      <c r="I46" s="713">
        <f>SUM(J46:M46)</f>
        <v>0</v>
      </c>
      <c r="J46" s="619"/>
      <c r="K46" s="713"/>
      <c r="L46" s="713"/>
      <c r="M46" s="713"/>
      <c r="N46" s="578"/>
      <c r="O46" s="578"/>
      <c r="P46" s="578"/>
      <c r="Q46" s="578"/>
      <c r="R46" s="578"/>
      <c r="S46" s="578"/>
    </row>
    <row r="47" spans="1:19" ht="15">
      <c r="A47" s="579"/>
      <c r="B47" s="580"/>
      <c r="C47" s="581" t="s">
        <v>1267</v>
      </c>
      <c r="D47" s="713">
        <f aca="true" t="shared" si="9" ref="D47:D53">SUM(E47:H47)</f>
        <v>0</v>
      </c>
      <c r="E47" s="619"/>
      <c r="F47" s="713"/>
      <c r="G47" s="713"/>
      <c r="H47" s="713"/>
      <c r="I47" s="713">
        <f aca="true" t="shared" si="10" ref="I47:I53">SUM(J47:M47)</f>
        <v>0</v>
      </c>
      <c r="J47" s="619"/>
      <c r="K47" s="713"/>
      <c r="L47" s="713"/>
      <c r="M47" s="713"/>
      <c r="N47" s="578"/>
      <c r="O47" s="578"/>
      <c r="P47" s="578"/>
      <c r="Q47" s="578"/>
      <c r="R47" s="578"/>
      <c r="S47" s="578"/>
    </row>
    <row r="48" spans="1:19" ht="15">
      <c r="A48" s="579"/>
      <c r="B48" s="580"/>
      <c r="C48" s="581" t="s">
        <v>1268</v>
      </c>
      <c r="D48" s="713">
        <f t="shared" si="9"/>
        <v>0</v>
      </c>
      <c r="E48" s="619"/>
      <c r="F48" s="713"/>
      <c r="G48" s="713"/>
      <c r="H48" s="713"/>
      <c r="I48" s="713">
        <f t="shared" si="10"/>
        <v>0</v>
      </c>
      <c r="J48" s="619"/>
      <c r="K48" s="713"/>
      <c r="L48" s="713"/>
      <c r="M48" s="713"/>
      <c r="N48" s="578"/>
      <c r="O48" s="578"/>
      <c r="P48" s="578"/>
      <c r="Q48" s="578"/>
      <c r="R48" s="578"/>
      <c r="S48" s="578"/>
    </row>
    <row r="49" spans="1:19" ht="15">
      <c r="A49" s="579"/>
      <c r="B49" s="580"/>
      <c r="C49" s="581" t="s">
        <v>1269</v>
      </c>
      <c r="D49" s="713">
        <f t="shared" si="9"/>
        <v>0</v>
      </c>
      <c r="E49" s="619"/>
      <c r="F49" s="713"/>
      <c r="G49" s="713"/>
      <c r="H49" s="713"/>
      <c r="I49" s="713">
        <f t="shared" si="10"/>
        <v>0</v>
      </c>
      <c r="J49" s="619"/>
      <c r="K49" s="713"/>
      <c r="L49" s="713"/>
      <c r="M49" s="713"/>
      <c r="N49" s="578"/>
      <c r="O49" s="578"/>
      <c r="P49" s="578"/>
      <c r="Q49" s="578"/>
      <c r="R49" s="578"/>
      <c r="S49" s="578"/>
    </row>
    <row r="50" spans="1:19" ht="15">
      <c r="A50" s="579">
        <v>2</v>
      </c>
      <c r="B50" s="580"/>
      <c r="C50" s="581" t="s">
        <v>1270</v>
      </c>
      <c r="D50" s="713">
        <f t="shared" si="9"/>
        <v>19</v>
      </c>
      <c r="E50" s="619"/>
      <c r="F50" s="713"/>
      <c r="G50" s="713"/>
      <c r="H50" s="713">
        <v>19</v>
      </c>
      <c r="I50" s="713">
        <f t="shared" si="10"/>
        <v>7.917</v>
      </c>
      <c r="J50" s="619"/>
      <c r="K50" s="713"/>
      <c r="L50" s="713"/>
      <c r="M50" s="713">
        <v>7.917</v>
      </c>
      <c r="N50" s="578">
        <v>2400</v>
      </c>
      <c r="O50" s="714">
        <f>S50</f>
        <v>49.50077813920583</v>
      </c>
      <c r="P50" s="714"/>
      <c r="Q50" s="714"/>
      <c r="R50" s="714"/>
      <c r="S50" s="714">
        <f>H50*100/D53</f>
        <v>49.50077813920583</v>
      </c>
    </row>
    <row r="51" spans="1:19" ht="15">
      <c r="A51" s="579">
        <v>3</v>
      </c>
      <c r="B51" s="580"/>
      <c r="C51" s="581" t="s">
        <v>1271</v>
      </c>
      <c r="D51" s="713">
        <f t="shared" si="9"/>
        <v>19.383235</v>
      </c>
      <c r="E51" s="619"/>
      <c r="F51" s="713">
        <v>0.0108</v>
      </c>
      <c r="G51" s="713">
        <v>12.204</v>
      </c>
      <c r="H51" s="713">
        <v>7.168435</v>
      </c>
      <c r="I51" s="713">
        <f t="shared" si="10"/>
        <v>5.0729999999999995</v>
      </c>
      <c r="J51" s="619"/>
      <c r="K51" s="713">
        <v>0.003</v>
      </c>
      <c r="L51" s="713">
        <v>4.044</v>
      </c>
      <c r="M51" s="713">
        <v>1.026</v>
      </c>
      <c r="N51" s="714">
        <f>D51/I51*1000</f>
        <v>3820.8624088310667</v>
      </c>
      <c r="O51" s="714">
        <f>Q51+R51+S51</f>
        <v>50.49922186079417</v>
      </c>
      <c r="P51" s="714"/>
      <c r="Q51" s="715">
        <f>F51*100/D53</f>
        <v>0.028137284415969632</v>
      </c>
      <c r="R51" s="714">
        <f>G51*100/D53</f>
        <v>31.795131390045682</v>
      </c>
      <c r="S51" s="714">
        <f>H51*100/D53</f>
        <v>18.67595318633252</v>
      </c>
    </row>
    <row r="52" spans="1:19" ht="30">
      <c r="A52" s="582" t="s">
        <v>1120</v>
      </c>
      <c r="B52" s="580"/>
      <c r="C52" s="581" t="s">
        <v>1272</v>
      </c>
      <c r="D52" s="713">
        <f t="shared" si="9"/>
        <v>3.475</v>
      </c>
      <c r="E52" s="619"/>
      <c r="F52" s="713"/>
      <c r="G52" s="713">
        <v>1.225</v>
      </c>
      <c r="H52" s="713">
        <v>2.25</v>
      </c>
      <c r="I52" s="713">
        <f t="shared" si="10"/>
        <v>1.28</v>
      </c>
      <c r="J52" s="619"/>
      <c r="K52" s="713"/>
      <c r="L52" s="713">
        <v>0.38</v>
      </c>
      <c r="M52" s="713">
        <v>0.9</v>
      </c>
      <c r="N52" s="714">
        <f>D52/I52*1000</f>
        <v>2714.84375</v>
      </c>
      <c r="O52" s="714">
        <f>R52+S52</f>
        <v>9.053431791249487</v>
      </c>
      <c r="P52" s="714"/>
      <c r="Q52" s="715"/>
      <c r="R52" s="714">
        <f>G52*100/D53</f>
        <v>3.1914975379224813</v>
      </c>
      <c r="S52" s="714">
        <f>H52*100/D53</f>
        <v>5.861934253327006</v>
      </c>
    </row>
    <row r="53" spans="1:19" ht="15">
      <c r="A53" s="579" t="s">
        <v>397</v>
      </c>
      <c r="B53" s="580"/>
      <c r="C53" s="581" t="s">
        <v>562</v>
      </c>
      <c r="D53" s="713">
        <f t="shared" si="9"/>
        <v>38.383235</v>
      </c>
      <c r="E53" s="619">
        <f>E46+E50+E51</f>
        <v>0</v>
      </c>
      <c r="F53" s="713">
        <f>F46+F50+F51</f>
        <v>0.0108</v>
      </c>
      <c r="G53" s="713">
        <f>G46+G50+G51</f>
        <v>12.204</v>
      </c>
      <c r="H53" s="713">
        <f>H46+H50+H51</f>
        <v>26.168435</v>
      </c>
      <c r="I53" s="713">
        <f t="shared" si="10"/>
        <v>12.989999999999998</v>
      </c>
      <c r="J53" s="619">
        <f>J46+J50+J51</f>
        <v>0</v>
      </c>
      <c r="K53" s="713">
        <f>K46+K50+K51</f>
        <v>0.003</v>
      </c>
      <c r="L53" s="713">
        <f>L46+L50+L51</f>
        <v>4.044</v>
      </c>
      <c r="M53" s="713">
        <f>M46+M50+M51</f>
        <v>8.943</v>
      </c>
      <c r="N53" s="714">
        <f>D53/I53*1000</f>
        <v>2954.8294842186297</v>
      </c>
      <c r="O53" s="714">
        <f>Q53+R53+S53</f>
        <v>100</v>
      </c>
      <c r="P53" s="714"/>
      <c r="Q53" s="715">
        <f>Q51</f>
        <v>0.028137284415969632</v>
      </c>
      <c r="R53" s="714">
        <f>R51</f>
        <v>31.795131390045682</v>
      </c>
      <c r="S53" s="714">
        <f>S50+S51</f>
        <v>68.17673132553836</v>
      </c>
    </row>
    <row r="56" spans="3:12" ht="15">
      <c r="C56" s="576" t="s">
        <v>1291</v>
      </c>
      <c r="D56" s="576" t="s">
        <v>1345</v>
      </c>
      <c r="E56" s="608"/>
      <c r="F56" s="607"/>
      <c r="G56" s="607"/>
      <c r="H56" s="607"/>
      <c r="I56" s="576" t="s">
        <v>1342</v>
      </c>
      <c r="J56" s="14"/>
      <c r="K56" s="14"/>
      <c r="L56" s="14"/>
    </row>
    <row r="57" spans="7:12" ht="15">
      <c r="G57" s="576" t="s">
        <v>1288</v>
      </c>
      <c r="J57" s="14"/>
      <c r="K57" s="14"/>
      <c r="L57" s="14"/>
    </row>
    <row r="58" spans="3:12" ht="15">
      <c r="C58" s="576" t="s">
        <v>1347</v>
      </c>
      <c r="J58" s="14"/>
      <c r="K58" s="14"/>
      <c r="L58" s="14"/>
    </row>
  </sheetData>
  <sheetProtection/>
  <mergeCells count="14">
    <mergeCell ref="A3:S3"/>
    <mergeCell ref="A4:S4"/>
    <mergeCell ref="A6:A7"/>
    <mergeCell ref="B6:C7"/>
    <mergeCell ref="D6:H6"/>
    <mergeCell ref="I6:M6"/>
    <mergeCell ref="A18:S18"/>
    <mergeCell ref="A36:S36"/>
    <mergeCell ref="A45:S45"/>
    <mergeCell ref="N6:N7"/>
    <mergeCell ref="O6:S6"/>
    <mergeCell ref="B8:C8"/>
    <mergeCell ref="A9:S9"/>
    <mergeCell ref="A27:S27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8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6" max="1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Q222"/>
  <sheetViews>
    <sheetView showZeros="0" zoomScale="75" zoomScaleNormal="75" zoomScaleSheetLayoutView="80" zoomScalePageLayoutView="0" workbookViewId="0" topLeftCell="A1">
      <pane ySplit="8" topLeftCell="A9" activePane="bottomLeft" state="frozen"/>
      <selection pane="topLeft" activeCell="A1" sqref="A1"/>
      <selection pane="bottomLeft" activeCell="A220" sqref="A220:F222"/>
    </sheetView>
  </sheetViews>
  <sheetFormatPr defaultColWidth="9.140625" defaultRowHeight="11.25"/>
  <cols>
    <col min="1" max="1" width="7.7109375" style="476" customWidth="1"/>
    <col min="2" max="2" width="53.7109375" style="476" customWidth="1"/>
    <col min="3" max="3" width="15.00390625" style="476" customWidth="1"/>
    <col min="4" max="4" width="13.28125" style="476" customWidth="1"/>
    <col min="5" max="5" width="13.140625" style="476" customWidth="1"/>
    <col min="6" max="6" width="12.28125" style="476" customWidth="1"/>
    <col min="7" max="7" width="13.8515625" style="476" customWidth="1"/>
    <col min="8" max="8" width="11.8515625" style="476" customWidth="1"/>
    <col min="9" max="9" width="16.7109375" style="476" customWidth="1"/>
    <col min="10" max="14" width="9.140625" style="476" customWidth="1"/>
    <col min="15" max="15" width="12.57421875" style="476" customWidth="1"/>
    <col min="16" max="16384" width="9.140625" style="476" customWidth="1"/>
  </cols>
  <sheetData>
    <row r="1" spans="1:2" ht="14.25">
      <c r="A1" s="512" t="s">
        <v>1146</v>
      </c>
      <c r="B1" s="492"/>
    </row>
    <row r="2" spans="7:17" ht="15">
      <c r="G2" s="545" t="s">
        <v>1250</v>
      </c>
      <c r="H2" s="546"/>
      <c r="I2" s="546"/>
      <c r="J2" s="546"/>
      <c r="K2" s="546"/>
      <c r="L2" s="546"/>
      <c r="M2" s="546"/>
      <c r="N2" s="546"/>
      <c r="O2" s="546"/>
      <c r="P2" s="546"/>
      <c r="Q2" s="546"/>
    </row>
    <row r="3" spans="1:17" ht="12.75" customHeight="1">
      <c r="A3" s="491"/>
      <c r="B3" s="491"/>
      <c r="G3" s="545" t="s">
        <v>1251</v>
      </c>
      <c r="H3" s="546"/>
      <c r="I3" s="546"/>
      <c r="J3" s="546"/>
      <c r="K3" s="546"/>
      <c r="L3" s="546"/>
      <c r="M3" s="546"/>
      <c r="N3" s="546"/>
      <c r="O3" s="546"/>
      <c r="P3" s="546"/>
      <c r="Q3" s="546"/>
    </row>
    <row r="4" spans="1:7" ht="15.75">
      <c r="A4" s="810" t="s">
        <v>1249</v>
      </c>
      <c r="B4" s="810"/>
      <c r="C4" s="810"/>
      <c r="D4" s="810"/>
      <c r="E4" s="810"/>
      <c r="F4" s="810"/>
      <c r="G4" s="544"/>
    </row>
    <row r="5" spans="1:15" ht="21" thickBot="1">
      <c r="A5" s="490"/>
      <c r="B5" s="490"/>
      <c r="G5" s="609" t="s">
        <v>1316</v>
      </c>
      <c r="H5" s="609"/>
      <c r="I5" s="546"/>
      <c r="J5" s="489"/>
      <c r="K5" s="621" t="s">
        <v>1314</v>
      </c>
      <c r="L5" s="620"/>
      <c r="M5" s="620"/>
      <c r="N5" s="620"/>
      <c r="O5" s="620"/>
    </row>
    <row r="6" spans="1:6" s="489" customFormat="1" ht="19.5" customHeight="1" thickBot="1">
      <c r="A6" s="811" t="s">
        <v>24</v>
      </c>
      <c r="B6" s="814" t="s">
        <v>509</v>
      </c>
      <c r="C6" s="817" t="s">
        <v>1313</v>
      </c>
      <c r="D6" s="818"/>
      <c r="E6" s="818"/>
      <c r="F6" s="819"/>
    </row>
    <row r="7" spans="1:6" s="489" customFormat="1" ht="18" customHeight="1">
      <c r="A7" s="812"/>
      <c r="B7" s="815"/>
      <c r="C7" s="817"/>
      <c r="D7" s="818"/>
      <c r="E7" s="818"/>
      <c r="F7" s="819"/>
    </row>
    <row r="8" spans="1:6" ht="53.25" customHeight="1" thickBot="1">
      <c r="A8" s="813"/>
      <c r="B8" s="816"/>
      <c r="C8" s="631" t="s">
        <v>1145</v>
      </c>
      <c r="D8" s="632" t="s">
        <v>1144</v>
      </c>
      <c r="E8" s="632" t="s">
        <v>1143</v>
      </c>
      <c r="F8" s="633" t="s">
        <v>1142</v>
      </c>
    </row>
    <row r="9" spans="1:6" ht="25.5" customHeight="1">
      <c r="A9" s="488">
        <v>1</v>
      </c>
      <c r="B9" s="560" t="s">
        <v>1141</v>
      </c>
      <c r="C9" s="624">
        <f>C11+C12</f>
        <v>87900</v>
      </c>
      <c r="D9" s="634">
        <f>D11+D12</f>
        <v>15.003</v>
      </c>
      <c r="E9" s="634">
        <v>88</v>
      </c>
      <c r="F9" s="572"/>
    </row>
    <row r="10" spans="1:6" ht="12.75">
      <c r="A10" s="486"/>
      <c r="B10" s="485" t="s">
        <v>976</v>
      </c>
      <c r="C10" s="484"/>
      <c r="D10" s="483"/>
      <c r="E10" s="483"/>
      <c r="F10" s="482"/>
    </row>
    <row r="11" spans="1:6" ht="12.75">
      <c r="A11" s="481" t="s">
        <v>39</v>
      </c>
      <c r="B11" s="485" t="s">
        <v>979</v>
      </c>
      <c r="C11" s="484"/>
      <c r="D11" s="483"/>
      <c r="E11" s="483"/>
      <c r="F11" s="482"/>
    </row>
    <row r="12" spans="1:6" ht="12.75">
      <c r="A12" s="481" t="s">
        <v>42</v>
      </c>
      <c r="B12" s="485" t="s">
        <v>977</v>
      </c>
      <c r="C12" s="622">
        <f>SUM(C14:C32)</f>
        <v>87900</v>
      </c>
      <c r="D12" s="623">
        <f>SUM(D14:D32)</f>
        <v>15.003</v>
      </c>
      <c r="E12" s="623"/>
      <c r="F12" s="482"/>
    </row>
    <row r="13" spans="1:6" ht="12.75">
      <c r="A13" s="486"/>
      <c r="B13" s="485" t="s">
        <v>976</v>
      </c>
      <c r="C13" s="484"/>
      <c r="D13" s="483"/>
      <c r="E13" s="483"/>
      <c r="F13" s="482"/>
    </row>
    <row r="14" spans="1:6" ht="12.75">
      <c r="A14" s="481" t="s">
        <v>1140</v>
      </c>
      <c r="B14" s="485" t="s">
        <v>1031</v>
      </c>
      <c r="C14" s="622">
        <f>C92</f>
        <v>0</v>
      </c>
      <c r="D14" s="623">
        <f>D92</f>
        <v>0</v>
      </c>
      <c r="E14" s="623"/>
      <c r="F14" s="482"/>
    </row>
    <row r="15" spans="1:6" ht="12.75">
      <c r="A15" s="481" t="s">
        <v>1139</v>
      </c>
      <c r="B15" s="485" t="s">
        <v>970</v>
      </c>
      <c r="C15" s="622">
        <f>C93+C152+C203</f>
        <v>0</v>
      </c>
      <c r="D15" s="623">
        <f>D93+D152+D203</f>
        <v>0</v>
      </c>
      <c r="E15" s="623"/>
      <c r="F15" s="482"/>
    </row>
    <row r="16" spans="1:6" s="489" customFormat="1" ht="12.75">
      <c r="A16" s="497" t="s">
        <v>1138</v>
      </c>
      <c r="B16" s="561" t="s">
        <v>974</v>
      </c>
      <c r="C16" s="622">
        <f>C97+C122+C153+C200</f>
        <v>69810</v>
      </c>
      <c r="D16" s="623">
        <f>D97+D122+D153+D200</f>
        <v>11.268</v>
      </c>
      <c r="E16" s="623"/>
      <c r="F16" s="559"/>
    </row>
    <row r="17" spans="1:6" ht="12.75">
      <c r="A17" s="481" t="s">
        <v>1137</v>
      </c>
      <c r="B17" s="485" t="s">
        <v>1027</v>
      </c>
      <c r="C17" s="622">
        <f>C96+C126+C154</f>
        <v>18090</v>
      </c>
      <c r="D17" s="623">
        <f>D96+D126+D154</f>
        <v>3.7349999999999994</v>
      </c>
      <c r="E17" s="623"/>
      <c r="F17" s="482"/>
    </row>
    <row r="18" spans="1:6" ht="12.75">
      <c r="A18" s="481" t="s">
        <v>1136</v>
      </c>
      <c r="B18" s="485" t="s">
        <v>1025</v>
      </c>
      <c r="C18" s="622">
        <f>C94+C124+C155</f>
        <v>0</v>
      </c>
      <c r="D18" s="623">
        <f>D94+D124+D155</f>
        <v>0</v>
      </c>
      <c r="E18" s="623"/>
      <c r="F18" s="482"/>
    </row>
    <row r="19" spans="1:6" ht="12.75">
      <c r="A19" s="481" t="s">
        <v>1135</v>
      </c>
      <c r="B19" s="485" t="s">
        <v>1227</v>
      </c>
      <c r="C19" s="622">
        <f>C95</f>
        <v>0</v>
      </c>
      <c r="D19" s="623">
        <f>D95</f>
        <v>0</v>
      </c>
      <c r="E19" s="623"/>
      <c r="F19" s="482"/>
    </row>
    <row r="20" spans="1:6" ht="12.75">
      <c r="A20" s="481" t="s">
        <v>1134</v>
      </c>
      <c r="B20" s="485" t="s">
        <v>1228</v>
      </c>
      <c r="C20" s="622"/>
      <c r="D20" s="623"/>
      <c r="E20" s="623"/>
      <c r="F20" s="482"/>
    </row>
    <row r="21" spans="1:6" ht="12.75">
      <c r="A21" s="481" t="s">
        <v>1133</v>
      </c>
      <c r="B21" s="485"/>
      <c r="C21" s="622">
        <f>C156</f>
        <v>0</v>
      </c>
      <c r="D21" s="623">
        <f>D156</f>
        <v>0</v>
      </c>
      <c r="E21" s="623"/>
      <c r="F21" s="482"/>
    </row>
    <row r="22" spans="1:6" ht="12.75">
      <c r="A22" s="481" t="s">
        <v>1132</v>
      </c>
      <c r="B22" s="485" t="s">
        <v>1296</v>
      </c>
      <c r="C22" s="622">
        <f>C201</f>
        <v>0</v>
      </c>
      <c r="D22" s="623">
        <f>D201</f>
        <v>0</v>
      </c>
      <c r="E22" s="623"/>
      <c r="F22" s="482"/>
    </row>
    <row r="23" spans="1:6" ht="12.75">
      <c r="A23" s="481" t="s">
        <v>1131</v>
      </c>
      <c r="B23" s="485" t="s">
        <v>1021</v>
      </c>
      <c r="C23" s="622">
        <f>C158</f>
        <v>0</v>
      </c>
      <c r="D23" s="623">
        <f>D158</f>
        <v>0</v>
      </c>
      <c r="E23" s="623"/>
      <c r="F23" s="482"/>
    </row>
    <row r="24" spans="1:6" ht="12.75">
      <c r="A24" s="481" t="s">
        <v>1130</v>
      </c>
      <c r="B24" s="485" t="s">
        <v>1297</v>
      </c>
      <c r="C24" s="622">
        <f>C159+C204</f>
        <v>0</v>
      </c>
      <c r="D24" s="623">
        <f>D159+D204</f>
        <v>0</v>
      </c>
      <c r="E24" s="623"/>
      <c r="F24" s="482"/>
    </row>
    <row r="25" spans="1:6" ht="12.75">
      <c r="A25" s="481" t="s">
        <v>1129</v>
      </c>
      <c r="B25" s="485" t="s">
        <v>967</v>
      </c>
      <c r="C25" s="622"/>
      <c r="D25" s="623"/>
      <c r="E25" s="623"/>
      <c r="F25" s="482"/>
    </row>
    <row r="26" spans="1:6" ht="12.75">
      <c r="A26" s="481" t="s">
        <v>1128</v>
      </c>
      <c r="B26" s="485" t="s">
        <v>1018</v>
      </c>
      <c r="C26" s="622"/>
      <c r="D26" s="623"/>
      <c r="E26" s="623"/>
      <c r="F26" s="482"/>
    </row>
    <row r="27" spans="1:6" ht="12.75">
      <c r="A27" s="481" t="s">
        <v>1127</v>
      </c>
      <c r="B27" s="485" t="s">
        <v>1016</v>
      </c>
      <c r="C27" s="622">
        <f>C125</f>
        <v>0</v>
      </c>
      <c r="D27" s="623">
        <f>D125</f>
        <v>0</v>
      </c>
      <c r="E27" s="623"/>
      <c r="F27" s="482"/>
    </row>
    <row r="28" spans="1:6" ht="12.75">
      <c r="A28" s="481" t="s">
        <v>1126</v>
      </c>
      <c r="B28" s="485" t="s">
        <v>953</v>
      </c>
      <c r="C28" s="622"/>
      <c r="D28" s="623"/>
      <c r="E28" s="623"/>
      <c r="F28" s="482"/>
    </row>
    <row r="29" spans="1:6" ht="12.75">
      <c r="A29" s="481" t="s">
        <v>1125</v>
      </c>
      <c r="B29" s="485" t="s">
        <v>1298</v>
      </c>
      <c r="C29" s="622">
        <f>C164</f>
        <v>0</v>
      </c>
      <c r="D29" s="623">
        <f>D164</f>
        <v>0</v>
      </c>
      <c r="E29" s="623"/>
      <c r="F29" s="482"/>
    </row>
    <row r="30" spans="1:6" ht="12.75">
      <c r="A30" s="481" t="s">
        <v>1124</v>
      </c>
      <c r="B30" s="485" t="s">
        <v>1254</v>
      </c>
      <c r="C30" s="622">
        <f>C123+C163+C206</f>
        <v>0</v>
      </c>
      <c r="D30" s="623">
        <f>D123+D163+D206</f>
        <v>0</v>
      </c>
      <c r="E30" s="623"/>
      <c r="F30" s="482"/>
    </row>
    <row r="31" spans="1:6" ht="12.75">
      <c r="A31" s="481" t="s">
        <v>1123</v>
      </c>
      <c r="B31" s="485"/>
      <c r="C31" s="484">
        <f>C162</f>
        <v>0</v>
      </c>
      <c r="D31" s="483">
        <f>D162</f>
        <v>0</v>
      </c>
      <c r="E31" s="483"/>
      <c r="F31" s="482"/>
    </row>
    <row r="32" spans="1:6" ht="12.75">
      <c r="A32" s="481" t="s">
        <v>1229</v>
      </c>
      <c r="B32" s="485"/>
      <c r="C32" s="484">
        <f>C166</f>
        <v>0</v>
      </c>
      <c r="D32" s="483">
        <f>D166</f>
        <v>0</v>
      </c>
      <c r="E32" s="483"/>
      <c r="F32" s="482"/>
    </row>
    <row r="33" spans="1:6" ht="12.75">
      <c r="A33" s="486">
        <v>2</v>
      </c>
      <c r="B33" s="562" t="s">
        <v>1122</v>
      </c>
      <c r="C33" s="622">
        <f>C99+C129+C168+C207</f>
        <v>10023.606</v>
      </c>
      <c r="D33" s="623">
        <f>D99+D129+D168+D207</f>
        <v>1.7349999999999999</v>
      </c>
      <c r="E33" s="625"/>
      <c r="F33" s="482"/>
    </row>
    <row r="34" spans="1:6" ht="12.75">
      <c r="A34" s="486">
        <v>3</v>
      </c>
      <c r="B34" s="563" t="s">
        <v>1121</v>
      </c>
      <c r="C34" s="622">
        <f>C36+C41</f>
        <v>77876.394</v>
      </c>
      <c r="D34" s="623">
        <f>D36+D41</f>
        <v>13.268</v>
      </c>
      <c r="E34" s="623"/>
      <c r="F34" s="482">
        <f>F36+F41</f>
        <v>0</v>
      </c>
    </row>
    <row r="35" spans="1:6" ht="12.75">
      <c r="A35" s="486"/>
      <c r="B35" s="485" t="s">
        <v>958</v>
      </c>
      <c r="C35" s="484"/>
      <c r="D35" s="483"/>
      <c r="E35" s="483"/>
      <c r="F35" s="482"/>
    </row>
    <row r="36" spans="1:6" ht="12.75">
      <c r="A36" s="481" t="s">
        <v>1120</v>
      </c>
      <c r="B36" s="564" t="s">
        <v>961</v>
      </c>
      <c r="C36" s="622">
        <f>C102+C132+C171+C210</f>
        <v>77876.394</v>
      </c>
      <c r="D36" s="623">
        <f>D102+D132+D171+D210</f>
        <v>13.268</v>
      </c>
      <c r="E36" s="623"/>
      <c r="F36" s="482"/>
    </row>
    <row r="37" spans="1:11" ht="12.75">
      <c r="A37" s="481"/>
      <c r="B37" s="584" t="s">
        <v>1294</v>
      </c>
      <c r="C37" s="622">
        <f>C38+C39+C40</f>
        <v>38630</v>
      </c>
      <c r="D37" s="623">
        <f>D38+D39+D40</f>
        <v>8.048</v>
      </c>
      <c r="E37" s="623">
        <f>E38+E39+E40</f>
        <v>0</v>
      </c>
      <c r="F37" s="482"/>
      <c r="G37" s="574" t="s">
        <v>1255</v>
      </c>
      <c r="H37" s="574"/>
      <c r="I37" s="574"/>
      <c r="J37" s="574"/>
      <c r="K37" s="574"/>
    </row>
    <row r="38" spans="1:6" ht="12.75">
      <c r="A38" s="481"/>
      <c r="B38" s="584" t="s">
        <v>1292</v>
      </c>
      <c r="C38" s="484">
        <v>7230</v>
      </c>
      <c r="D38" s="483">
        <v>1.506</v>
      </c>
      <c r="E38" s="483"/>
      <c r="F38" s="482"/>
    </row>
    <row r="39" spans="1:6" ht="12.75">
      <c r="A39" s="481"/>
      <c r="B39" s="584" t="s">
        <v>1293</v>
      </c>
      <c r="C39" s="484">
        <v>30000</v>
      </c>
      <c r="D39" s="483">
        <v>6.25</v>
      </c>
      <c r="E39" s="483"/>
      <c r="F39" s="482"/>
    </row>
    <row r="40" spans="1:6" ht="12.75">
      <c r="A40" s="481"/>
      <c r="B40" s="584" t="s">
        <v>1295</v>
      </c>
      <c r="C40" s="484">
        <v>1400</v>
      </c>
      <c r="D40" s="483">
        <v>0.292</v>
      </c>
      <c r="E40" s="483"/>
      <c r="F40" s="482"/>
    </row>
    <row r="41" spans="1:6" ht="12.75">
      <c r="A41" s="481" t="s">
        <v>1119</v>
      </c>
      <c r="B41" s="564" t="s">
        <v>959</v>
      </c>
      <c r="C41" s="622">
        <f>SUM(C43:C61)</f>
        <v>0</v>
      </c>
      <c r="D41" s="623">
        <f>SUM(D43:D61)</f>
        <v>0</v>
      </c>
      <c r="E41" s="623"/>
      <c r="F41" s="482"/>
    </row>
    <row r="42" spans="1:6" ht="12.75">
      <c r="A42" s="486"/>
      <c r="B42" s="485" t="s">
        <v>958</v>
      </c>
      <c r="C42" s="484"/>
      <c r="D42" s="483"/>
      <c r="E42" s="483"/>
      <c r="F42" s="482"/>
    </row>
    <row r="43" spans="1:6" ht="12.75">
      <c r="A43" s="481" t="s">
        <v>1118</v>
      </c>
      <c r="B43" s="485"/>
      <c r="C43" s="484">
        <f>C213</f>
        <v>0</v>
      </c>
      <c r="D43" s="483">
        <f>D213</f>
        <v>0</v>
      </c>
      <c r="E43" s="483"/>
      <c r="F43" s="482"/>
    </row>
    <row r="44" spans="1:6" ht="12.75">
      <c r="A44" s="547" t="s">
        <v>1100</v>
      </c>
      <c r="B44" s="565" t="s">
        <v>974</v>
      </c>
      <c r="C44" s="622">
        <f>C105</f>
        <v>0</v>
      </c>
      <c r="D44" s="623">
        <f>D105</f>
        <v>0</v>
      </c>
      <c r="E44" s="623"/>
      <c r="F44" s="559"/>
    </row>
    <row r="45" spans="1:6" ht="12.75">
      <c r="A45" s="481" t="s">
        <v>1117</v>
      </c>
      <c r="B45" s="485" t="s">
        <v>1298</v>
      </c>
      <c r="C45" s="622">
        <f>C106+C183</f>
        <v>0</v>
      </c>
      <c r="D45" s="623">
        <f>D106+D183</f>
        <v>0</v>
      </c>
      <c r="E45" s="623"/>
      <c r="F45" s="482"/>
    </row>
    <row r="46" spans="1:6" ht="12.75">
      <c r="A46" s="481" t="s">
        <v>1116</v>
      </c>
      <c r="B46" s="485" t="s">
        <v>1297</v>
      </c>
      <c r="C46" s="622">
        <f>C174</f>
        <v>0</v>
      </c>
      <c r="D46" s="623">
        <f>D174</f>
        <v>0</v>
      </c>
      <c r="E46" s="623"/>
      <c r="F46" s="482"/>
    </row>
    <row r="47" spans="1:6" ht="12.75">
      <c r="A47" s="481" t="s">
        <v>1115</v>
      </c>
      <c r="B47" s="485" t="s">
        <v>970</v>
      </c>
      <c r="C47" s="622"/>
      <c r="D47" s="623"/>
      <c r="E47" s="623"/>
      <c r="F47" s="482"/>
    </row>
    <row r="48" spans="1:6" ht="12.75">
      <c r="A48" s="481" t="s">
        <v>1114</v>
      </c>
      <c r="B48" s="485"/>
      <c r="C48" s="622">
        <f>C180</f>
        <v>0</v>
      </c>
      <c r="D48" s="623">
        <f>D180</f>
        <v>0</v>
      </c>
      <c r="E48" s="623"/>
      <c r="F48" s="482"/>
    </row>
    <row r="49" spans="1:6" ht="12.75">
      <c r="A49" s="481" t="s">
        <v>1113</v>
      </c>
      <c r="B49" s="485" t="s">
        <v>1027</v>
      </c>
      <c r="C49" s="622"/>
      <c r="D49" s="623"/>
      <c r="E49" s="623"/>
      <c r="F49" s="482"/>
    </row>
    <row r="50" spans="1:6" ht="12.75">
      <c r="A50" s="481" t="s">
        <v>1112</v>
      </c>
      <c r="B50" s="485" t="s">
        <v>1031</v>
      </c>
      <c r="C50" s="622"/>
      <c r="D50" s="623"/>
      <c r="E50" s="623"/>
      <c r="F50" s="482"/>
    </row>
    <row r="51" spans="1:6" ht="12.75">
      <c r="A51" s="481" t="s">
        <v>1111</v>
      </c>
      <c r="B51" s="485" t="s">
        <v>953</v>
      </c>
      <c r="C51" s="622">
        <f>C187+C214</f>
        <v>0</v>
      </c>
      <c r="D51" s="623">
        <f>D187+D214</f>
        <v>0</v>
      </c>
      <c r="E51" s="623"/>
      <c r="F51" s="482"/>
    </row>
    <row r="52" spans="1:6" ht="12.75">
      <c r="A52" s="481" t="s">
        <v>1110</v>
      </c>
      <c r="B52" s="485" t="s">
        <v>1315</v>
      </c>
      <c r="C52" s="622">
        <f>C185</f>
        <v>0</v>
      </c>
      <c r="D52" s="623">
        <f>D185</f>
        <v>0</v>
      </c>
      <c r="E52" s="623"/>
      <c r="F52" s="482"/>
    </row>
    <row r="53" spans="1:6" ht="12.75">
      <c r="A53" s="481" t="s">
        <v>1109</v>
      </c>
      <c r="B53" s="485" t="s">
        <v>1296</v>
      </c>
      <c r="C53" s="622">
        <f>C178</f>
        <v>0</v>
      </c>
      <c r="D53" s="623">
        <f>D178</f>
        <v>0</v>
      </c>
      <c r="E53" s="623"/>
      <c r="F53" s="482"/>
    </row>
    <row r="54" spans="1:6" ht="12.75">
      <c r="A54" s="481" t="s">
        <v>1108</v>
      </c>
      <c r="B54" s="485" t="s">
        <v>1247</v>
      </c>
      <c r="C54" s="622">
        <f>C181</f>
        <v>0</v>
      </c>
      <c r="D54" s="623">
        <f>D181</f>
        <v>0</v>
      </c>
      <c r="E54" s="623"/>
      <c r="F54" s="482"/>
    </row>
    <row r="55" spans="1:6" ht="12.75">
      <c r="A55" s="481" t="s">
        <v>1107</v>
      </c>
      <c r="B55" s="485" t="s">
        <v>1025</v>
      </c>
      <c r="C55" s="622">
        <f>C179</f>
        <v>0</v>
      </c>
      <c r="D55" s="623">
        <f>D179</f>
        <v>0</v>
      </c>
      <c r="E55" s="623"/>
      <c r="F55" s="482"/>
    </row>
    <row r="56" spans="1:6" ht="12.75">
      <c r="A56" s="481" t="s">
        <v>1106</v>
      </c>
      <c r="B56" s="485" t="s">
        <v>1007</v>
      </c>
      <c r="C56" s="622">
        <f>C175</f>
        <v>0</v>
      </c>
      <c r="D56" s="623">
        <f>D175</f>
        <v>0</v>
      </c>
      <c r="E56" s="623"/>
      <c r="F56" s="482"/>
    </row>
    <row r="57" spans="1:6" ht="12.75">
      <c r="A57" s="481" t="s">
        <v>1105</v>
      </c>
      <c r="B57" s="485" t="s">
        <v>1254</v>
      </c>
      <c r="C57" s="622">
        <f>C215+C186+C107</f>
        <v>0</v>
      </c>
      <c r="D57" s="623">
        <f>D215+D186+D107</f>
        <v>0</v>
      </c>
      <c r="E57" s="623"/>
      <c r="F57" s="482"/>
    </row>
    <row r="58" spans="1:6" ht="12.75">
      <c r="A58" s="481" t="s">
        <v>1104</v>
      </c>
      <c r="B58" s="485" t="s">
        <v>1048</v>
      </c>
      <c r="C58" s="622"/>
      <c r="D58" s="623"/>
      <c r="E58" s="623"/>
      <c r="F58" s="482"/>
    </row>
    <row r="59" spans="1:6" ht="12.75">
      <c r="A59" s="481" t="s">
        <v>1103</v>
      </c>
      <c r="B59" s="485" t="s">
        <v>996</v>
      </c>
      <c r="C59" s="622">
        <f>C108+C136+C184</f>
        <v>0</v>
      </c>
      <c r="D59" s="623">
        <f>D108+D136+D184</f>
        <v>0</v>
      </c>
      <c r="E59" s="623"/>
      <c r="F59" s="482"/>
    </row>
    <row r="60" spans="1:6" ht="12.75">
      <c r="A60" s="481" t="s">
        <v>1102</v>
      </c>
      <c r="B60" s="485"/>
      <c r="C60" s="484">
        <f>C138</f>
        <v>0</v>
      </c>
      <c r="D60" s="483">
        <f>D138</f>
        <v>0</v>
      </c>
      <c r="E60" s="483"/>
      <c r="F60" s="482"/>
    </row>
    <row r="61" spans="1:6" ht="12.75">
      <c r="A61" s="481" t="s">
        <v>1230</v>
      </c>
      <c r="B61" s="485"/>
      <c r="C61" s="484">
        <f>C108+C137+C186</f>
        <v>0</v>
      </c>
      <c r="D61" s="483">
        <f>D108+D137+D186</f>
        <v>0</v>
      </c>
      <c r="E61" s="483"/>
      <c r="F61" s="482"/>
    </row>
    <row r="62" spans="1:6" ht="19.5" customHeight="1">
      <c r="A62" s="481" t="s">
        <v>1099</v>
      </c>
      <c r="B62" s="564" t="s">
        <v>1101</v>
      </c>
      <c r="C62" s="484"/>
      <c r="D62" s="483"/>
      <c r="E62" s="483"/>
      <c r="F62" s="482"/>
    </row>
    <row r="63" spans="1:6" ht="18.75" customHeight="1">
      <c r="A63" s="481" t="s">
        <v>1100</v>
      </c>
      <c r="B63" s="564" t="s">
        <v>1054</v>
      </c>
      <c r="C63" s="484"/>
      <c r="D63" s="483"/>
      <c r="E63" s="483"/>
      <c r="F63" s="482"/>
    </row>
    <row r="64" spans="1:6" ht="19.5" customHeight="1">
      <c r="A64" s="481" t="s">
        <v>1099</v>
      </c>
      <c r="B64" s="564" t="s">
        <v>1098</v>
      </c>
      <c r="C64" s="484"/>
      <c r="D64" s="483"/>
      <c r="E64" s="483"/>
      <c r="F64" s="482"/>
    </row>
    <row r="65" spans="1:6" ht="12.75">
      <c r="A65" s="486">
        <v>4</v>
      </c>
      <c r="B65" s="564" t="s">
        <v>1097</v>
      </c>
      <c r="C65" s="484"/>
      <c r="D65" s="483"/>
      <c r="E65" s="483"/>
      <c r="F65" s="482"/>
    </row>
    <row r="66" spans="1:6" ht="12.75">
      <c r="A66" s="486"/>
      <c r="B66" s="485" t="s">
        <v>976</v>
      </c>
      <c r="C66" s="484"/>
      <c r="D66" s="483"/>
      <c r="E66" s="483"/>
      <c r="F66" s="482"/>
    </row>
    <row r="67" spans="1:6" ht="12.75">
      <c r="A67" s="481" t="s">
        <v>1096</v>
      </c>
      <c r="B67" s="564" t="s">
        <v>1059</v>
      </c>
      <c r="C67" s="484"/>
      <c r="D67" s="483"/>
      <c r="E67" s="483"/>
      <c r="F67" s="482"/>
    </row>
    <row r="68" spans="1:6" ht="12.75">
      <c r="A68" s="481" t="s">
        <v>1095</v>
      </c>
      <c r="B68" s="564" t="s">
        <v>1094</v>
      </c>
      <c r="C68" s="484"/>
      <c r="D68" s="483"/>
      <c r="E68" s="483"/>
      <c r="F68" s="482"/>
    </row>
    <row r="69" spans="1:6" ht="12.75">
      <c r="A69" s="486"/>
      <c r="B69" s="485" t="s">
        <v>958</v>
      </c>
      <c r="C69" s="484"/>
      <c r="D69" s="483"/>
      <c r="E69" s="483"/>
      <c r="F69" s="482"/>
    </row>
    <row r="70" spans="1:6" ht="12.75">
      <c r="A70" s="481" t="s">
        <v>1093</v>
      </c>
      <c r="B70" s="564" t="s">
        <v>1086</v>
      </c>
      <c r="C70" s="484"/>
      <c r="D70" s="483"/>
      <c r="E70" s="483"/>
      <c r="F70" s="482"/>
    </row>
    <row r="71" spans="1:6" ht="12.75">
      <c r="A71" s="481" t="s">
        <v>1092</v>
      </c>
      <c r="B71" s="564" t="s">
        <v>989</v>
      </c>
      <c r="C71" s="484"/>
      <c r="D71" s="483"/>
      <c r="E71" s="483"/>
      <c r="F71" s="482"/>
    </row>
    <row r="72" spans="1:6" ht="12.75">
      <c r="A72" s="486">
        <v>5</v>
      </c>
      <c r="B72" s="564" t="s">
        <v>1091</v>
      </c>
      <c r="C72" s="484"/>
      <c r="D72" s="483"/>
      <c r="E72" s="483"/>
      <c r="F72" s="482"/>
    </row>
    <row r="73" spans="1:6" ht="12.75">
      <c r="A73" s="486">
        <v>6</v>
      </c>
      <c r="B73" s="564" t="s">
        <v>963</v>
      </c>
      <c r="C73" s="484"/>
      <c r="D73" s="483"/>
      <c r="E73" s="483"/>
      <c r="F73" s="482"/>
    </row>
    <row r="74" spans="1:6" ht="12.75">
      <c r="A74" s="481"/>
      <c r="B74" s="485" t="s">
        <v>958</v>
      </c>
      <c r="C74" s="484"/>
      <c r="D74" s="483"/>
      <c r="E74" s="483"/>
      <c r="F74" s="482"/>
    </row>
    <row r="75" spans="1:6" ht="12.75">
      <c r="A75" s="481" t="s">
        <v>1090</v>
      </c>
      <c r="B75" s="564" t="s">
        <v>1089</v>
      </c>
      <c r="C75" s="484"/>
      <c r="D75" s="483"/>
      <c r="E75" s="483"/>
      <c r="F75" s="482"/>
    </row>
    <row r="76" spans="1:6" ht="12.75">
      <c r="A76" s="481" t="s">
        <v>1088</v>
      </c>
      <c r="B76" s="564" t="s">
        <v>959</v>
      </c>
      <c r="C76" s="484"/>
      <c r="D76" s="483"/>
      <c r="E76" s="483"/>
      <c r="F76" s="482"/>
    </row>
    <row r="77" spans="1:6" ht="12.75">
      <c r="A77" s="481"/>
      <c r="B77" s="485" t="s">
        <v>958</v>
      </c>
      <c r="C77" s="484"/>
      <c r="D77" s="483"/>
      <c r="E77" s="483"/>
      <c r="F77" s="482"/>
    </row>
    <row r="78" spans="1:6" ht="12.75">
      <c r="A78" s="481" t="s">
        <v>1087</v>
      </c>
      <c r="B78" s="564" t="s">
        <v>1086</v>
      </c>
      <c r="C78" s="484"/>
      <c r="D78" s="483"/>
      <c r="E78" s="483"/>
      <c r="F78" s="482"/>
    </row>
    <row r="79" spans="1:6" ht="27" customHeight="1">
      <c r="A79" s="481" t="s">
        <v>1085</v>
      </c>
      <c r="B79" s="564" t="s">
        <v>1084</v>
      </c>
      <c r="C79" s="484"/>
      <c r="D79" s="483"/>
      <c r="E79" s="483"/>
      <c r="F79" s="482"/>
    </row>
    <row r="80" spans="1:6" ht="12.75">
      <c r="A80" s="481" t="s">
        <v>1083</v>
      </c>
      <c r="B80" s="564" t="s">
        <v>989</v>
      </c>
      <c r="C80" s="484"/>
      <c r="D80" s="483"/>
      <c r="E80" s="483"/>
      <c r="F80" s="482"/>
    </row>
    <row r="81" spans="1:6" ht="26.25" customHeight="1">
      <c r="A81" s="481" t="s">
        <v>1082</v>
      </c>
      <c r="B81" s="564" t="s">
        <v>1081</v>
      </c>
      <c r="C81" s="484"/>
      <c r="D81" s="483"/>
      <c r="E81" s="483"/>
      <c r="F81" s="482"/>
    </row>
    <row r="82" spans="1:6" ht="12.75">
      <c r="A82" s="486">
        <v>7</v>
      </c>
      <c r="B82" s="564" t="s">
        <v>1080</v>
      </c>
      <c r="C82" s="484"/>
      <c r="D82" s="483"/>
      <c r="E82" s="483"/>
      <c r="F82" s="482"/>
    </row>
    <row r="83" spans="1:6" ht="12.75">
      <c r="A83" s="486">
        <v>8</v>
      </c>
      <c r="B83" s="566" t="s">
        <v>1079</v>
      </c>
      <c r="C83" s="484"/>
      <c r="D83" s="483"/>
      <c r="E83" s="483"/>
      <c r="F83" s="482"/>
    </row>
    <row r="84" spans="1:6" ht="12.75">
      <c r="A84" s="486">
        <v>9</v>
      </c>
      <c r="B84" s="566" t="s">
        <v>1062</v>
      </c>
      <c r="C84" s="484"/>
      <c r="D84" s="483"/>
      <c r="E84" s="483"/>
      <c r="F84" s="482"/>
    </row>
    <row r="85" spans="1:6" ht="12.75">
      <c r="A85" s="486">
        <v>10</v>
      </c>
      <c r="B85" s="566" t="s">
        <v>1038</v>
      </c>
      <c r="C85" s="484"/>
      <c r="D85" s="483"/>
      <c r="E85" s="483"/>
      <c r="F85" s="482"/>
    </row>
    <row r="86" spans="1:6" ht="12.75">
      <c r="A86" s="486">
        <v>11</v>
      </c>
      <c r="B86" s="566" t="s">
        <v>983</v>
      </c>
      <c r="C86" s="484"/>
      <c r="D86" s="483"/>
      <c r="E86" s="483"/>
      <c r="F86" s="482"/>
    </row>
    <row r="87" spans="1:6" s="489" customFormat="1" ht="12.75">
      <c r="A87" s="500">
        <v>12</v>
      </c>
      <c r="B87" s="567" t="s">
        <v>1078</v>
      </c>
      <c r="C87" s="622">
        <f>C89+C90</f>
        <v>78590</v>
      </c>
      <c r="D87" s="623">
        <f>D89+D90</f>
        <v>13.6425</v>
      </c>
      <c r="E87" s="623">
        <f>E89+E90</f>
        <v>0</v>
      </c>
      <c r="F87" s="559"/>
    </row>
    <row r="88" spans="1:6" s="489" customFormat="1" ht="12.75">
      <c r="A88" s="493"/>
      <c r="B88" s="568" t="s">
        <v>976</v>
      </c>
      <c r="C88" s="494"/>
      <c r="D88" s="495"/>
      <c r="E88" s="495"/>
      <c r="F88" s="496"/>
    </row>
    <row r="89" spans="1:6" s="489" customFormat="1" ht="12.75">
      <c r="A89" s="493" t="s">
        <v>1077</v>
      </c>
      <c r="B89" s="568" t="s">
        <v>1059</v>
      </c>
      <c r="C89" s="494"/>
      <c r="D89" s="495"/>
      <c r="E89" s="495"/>
      <c r="F89" s="496"/>
    </row>
    <row r="90" spans="1:6" s="489" customFormat="1" ht="12.75">
      <c r="A90" s="493" t="s">
        <v>1076</v>
      </c>
      <c r="B90" s="568" t="s">
        <v>977</v>
      </c>
      <c r="C90" s="622">
        <f>SUM(C92:C98)</f>
        <v>78590</v>
      </c>
      <c r="D90" s="623">
        <f>SUM(D92:D98)</f>
        <v>13.6425</v>
      </c>
      <c r="E90" s="623">
        <f>SUM(E92:E98)</f>
        <v>0</v>
      </c>
      <c r="F90" s="496"/>
    </row>
    <row r="91" spans="1:6" s="489" customFormat="1" ht="12.75">
      <c r="A91" s="493"/>
      <c r="B91" s="568" t="s">
        <v>976</v>
      </c>
      <c r="C91" s="494"/>
      <c r="D91" s="495"/>
      <c r="E91" s="495"/>
      <c r="F91" s="496"/>
    </row>
    <row r="92" spans="1:6" s="489" customFormat="1" ht="12.75">
      <c r="A92" s="493" t="s">
        <v>1075</v>
      </c>
      <c r="B92" s="568" t="s">
        <v>1031</v>
      </c>
      <c r="C92" s="494"/>
      <c r="D92" s="495"/>
      <c r="E92" s="495"/>
      <c r="F92" s="496"/>
    </row>
    <row r="93" spans="1:6" s="489" customFormat="1" ht="12.75">
      <c r="A93" s="493" t="s">
        <v>1074</v>
      </c>
      <c r="B93" s="568" t="s">
        <v>970</v>
      </c>
      <c r="C93" s="494"/>
      <c r="D93" s="495"/>
      <c r="E93" s="495"/>
      <c r="F93" s="496"/>
    </row>
    <row r="94" spans="1:6" s="489" customFormat="1" ht="12.75">
      <c r="A94" s="493" t="s">
        <v>1073</v>
      </c>
      <c r="B94" s="568" t="s">
        <v>1025</v>
      </c>
      <c r="C94" s="494"/>
      <c r="D94" s="495"/>
      <c r="E94" s="495"/>
      <c r="F94" s="496"/>
    </row>
    <row r="95" spans="1:6" s="489" customFormat="1" ht="12.75">
      <c r="A95" s="493" t="s">
        <v>1231</v>
      </c>
      <c r="B95" s="568" t="s">
        <v>1227</v>
      </c>
      <c r="C95" s="494"/>
      <c r="D95" s="495"/>
      <c r="E95" s="495"/>
      <c r="F95" s="496"/>
    </row>
    <row r="96" spans="1:6" s="489" customFormat="1" ht="12.75">
      <c r="A96" s="493" t="s">
        <v>1232</v>
      </c>
      <c r="B96" s="568" t="s">
        <v>1027</v>
      </c>
      <c r="C96" s="494">
        <v>8780</v>
      </c>
      <c r="D96" s="495">
        <v>2.3745</v>
      </c>
      <c r="E96" s="495"/>
      <c r="F96" s="496"/>
    </row>
    <row r="97" spans="1:6" s="489" customFormat="1" ht="12.75">
      <c r="A97" s="497" t="s">
        <v>1233</v>
      </c>
      <c r="B97" s="561" t="s">
        <v>974</v>
      </c>
      <c r="C97" s="515">
        <v>69810</v>
      </c>
      <c r="D97" s="516">
        <v>11.268</v>
      </c>
      <c r="E97" s="516"/>
      <c r="F97" s="517"/>
    </row>
    <row r="98" spans="1:6" s="489" customFormat="1" ht="12.75">
      <c r="A98" s="493" t="s">
        <v>1252</v>
      </c>
      <c r="B98" s="568"/>
      <c r="C98" s="557"/>
      <c r="D98" s="558"/>
      <c r="E98" s="558"/>
      <c r="F98" s="559"/>
    </row>
    <row r="99" spans="1:6" ht="12.75">
      <c r="A99" s="481" t="s">
        <v>578</v>
      </c>
      <c r="B99" s="569" t="s">
        <v>965</v>
      </c>
      <c r="C99" s="484"/>
      <c r="D99" s="483"/>
      <c r="E99" s="483"/>
      <c r="F99" s="482"/>
    </row>
    <row r="100" spans="1:6" ht="12.75">
      <c r="A100" s="481" t="s">
        <v>579</v>
      </c>
      <c r="B100" s="570" t="s">
        <v>963</v>
      </c>
      <c r="C100" s="622">
        <f>C102+C103</f>
        <v>0</v>
      </c>
      <c r="D100" s="623">
        <f>D102+D103</f>
        <v>0</v>
      </c>
      <c r="E100" s="623">
        <f>E102+E103</f>
        <v>0</v>
      </c>
      <c r="F100" s="482"/>
    </row>
    <row r="101" spans="1:6" ht="12.75">
      <c r="A101" s="481"/>
      <c r="B101" s="485" t="s">
        <v>958</v>
      </c>
      <c r="C101" s="484"/>
      <c r="D101" s="483"/>
      <c r="E101" s="483"/>
      <c r="F101" s="482"/>
    </row>
    <row r="102" spans="1:6" ht="12.75">
      <c r="A102" s="481" t="s">
        <v>1072</v>
      </c>
      <c r="B102" s="564" t="s">
        <v>961</v>
      </c>
      <c r="C102" s="484"/>
      <c r="D102" s="483"/>
      <c r="E102" s="483"/>
      <c r="F102" s="482"/>
    </row>
    <row r="103" spans="1:6" ht="12.75">
      <c r="A103" s="481" t="s">
        <v>1071</v>
      </c>
      <c r="B103" s="564" t="s">
        <v>959</v>
      </c>
      <c r="C103" s="622">
        <f>SUM(C105:C109)</f>
        <v>0</v>
      </c>
      <c r="D103" s="623">
        <f>SUM(D105:D109)</f>
        <v>0</v>
      </c>
      <c r="E103" s="623">
        <f>SUM(E105:E109)</f>
        <v>0</v>
      </c>
      <c r="F103" s="482"/>
    </row>
    <row r="104" spans="1:6" ht="12.75">
      <c r="A104" s="481"/>
      <c r="B104" s="485" t="s">
        <v>958</v>
      </c>
      <c r="C104" s="484"/>
      <c r="D104" s="483"/>
      <c r="E104" s="483"/>
      <c r="F104" s="482"/>
    </row>
    <row r="105" spans="1:6" ht="12.75">
      <c r="A105" s="547" t="s">
        <v>1070</v>
      </c>
      <c r="B105" s="565" t="s">
        <v>974</v>
      </c>
      <c r="C105" s="548"/>
      <c r="D105" s="549"/>
      <c r="E105" s="549"/>
      <c r="F105" s="550"/>
    </row>
    <row r="106" spans="1:6" ht="12.75">
      <c r="A106" s="493" t="s">
        <v>1067</v>
      </c>
      <c r="B106" s="485" t="s">
        <v>1298</v>
      </c>
      <c r="C106" s="484"/>
      <c r="D106" s="483"/>
      <c r="E106" s="483"/>
      <c r="F106" s="482"/>
    </row>
    <row r="107" spans="1:6" ht="12.75">
      <c r="A107" s="493" t="s">
        <v>1069</v>
      </c>
      <c r="B107" s="485" t="s">
        <v>1254</v>
      </c>
      <c r="C107" s="484"/>
      <c r="D107" s="483"/>
      <c r="E107" s="483"/>
      <c r="F107" s="482"/>
    </row>
    <row r="108" spans="1:6" ht="12.75">
      <c r="A108" s="493" t="s">
        <v>1234</v>
      </c>
      <c r="B108" s="485" t="s">
        <v>996</v>
      </c>
      <c r="C108" s="484"/>
      <c r="D108" s="483"/>
      <c r="E108" s="483"/>
      <c r="F108" s="482"/>
    </row>
    <row r="109" spans="1:6" ht="12.75">
      <c r="A109" s="493" t="s">
        <v>1253</v>
      </c>
      <c r="B109" s="485"/>
      <c r="C109" s="484"/>
      <c r="D109" s="483"/>
      <c r="E109" s="483"/>
      <c r="F109" s="482"/>
    </row>
    <row r="110" spans="1:6" ht="36.75" customHeight="1">
      <c r="A110" s="481" t="s">
        <v>1068</v>
      </c>
      <c r="B110" s="564" t="s">
        <v>951</v>
      </c>
      <c r="C110" s="484"/>
      <c r="D110" s="483"/>
      <c r="E110" s="483"/>
      <c r="F110" s="482"/>
    </row>
    <row r="111" spans="1:6" ht="12.75">
      <c r="A111" s="481" t="s">
        <v>1067</v>
      </c>
      <c r="B111" s="564" t="s">
        <v>989</v>
      </c>
      <c r="C111" s="484"/>
      <c r="D111" s="483"/>
      <c r="E111" s="483"/>
      <c r="F111" s="482"/>
    </row>
    <row r="112" spans="1:6" ht="36.75" customHeight="1">
      <c r="A112" s="481" t="s">
        <v>1066</v>
      </c>
      <c r="B112" s="564" t="s">
        <v>1065</v>
      </c>
      <c r="C112" s="484"/>
      <c r="D112" s="483"/>
      <c r="E112" s="483"/>
      <c r="F112" s="482"/>
    </row>
    <row r="113" spans="1:9" ht="12.75">
      <c r="A113" s="481" t="s">
        <v>1064</v>
      </c>
      <c r="B113" s="564" t="s">
        <v>1063</v>
      </c>
      <c r="C113" s="622">
        <f>C87-C99-C100</f>
        <v>78590</v>
      </c>
      <c r="D113" s="623">
        <f>D87-D99-D100</f>
        <v>13.6425</v>
      </c>
      <c r="E113" s="623">
        <f>E87-E99-E100</f>
        <v>0</v>
      </c>
      <c r="F113" s="482"/>
      <c r="G113" s="476" t="s">
        <v>1246</v>
      </c>
      <c r="H113" s="518">
        <f>C114+C115+C116</f>
        <v>78590</v>
      </c>
      <c r="I113" s="518">
        <f>D114+D115+D116</f>
        <v>13.643</v>
      </c>
    </row>
    <row r="114" spans="1:6" ht="12.75">
      <c r="A114" s="486">
        <v>16</v>
      </c>
      <c r="B114" s="566" t="s">
        <v>1062</v>
      </c>
      <c r="C114" s="484"/>
      <c r="D114" s="483"/>
      <c r="E114" s="483"/>
      <c r="F114" s="482"/>
    </row>
    <row r="115" spans="1:6" ht="12.75">
      <c r="A115" s="486">
        <v>17</v>
      </c>
      <c r="B115" s="566" t="s">
        <v>1038</v>
      </c>
      <c r="C115" s="484">
        <v>78590</v>
      </c>
      <c r="D115" s="483">
        <v>13.643</v>
      </c>
      <c r="E115" s="483"/>
      <c r="F115" s="482"/>
    </row>
    <row r="116" spans="1:6" ht="12.75">
      <c r="A116" s="486">
        <v>18</v>
      </c>
      <c r="B116" s="566" t="s">
        <v>983</v>
      </c>
      <c r="C116" s="484"/>
      <c r="D116" s="483"/>
      <c r="E116" s="483"/>
      <c r="F116" s="482"/>
    </row>
    <row r="117" spans="1:6" s="489" customFormat="1" ht="12.75">
      <c r="A117" s="500">
        <v>19</v>
      </c>
      <c r="B117" s="567" t="s">
        <v>1061</v>
      </c>
      <c r="C117" s="622">
        <f>C114+C119+C120</f>
        <v>6920</v>
      </c>
      <c r="D117" s="623">
        <f>D114+D119+D120</f>
        <v>1.0125</v>
      </c>
      <c r="E117" s="623">
        <f>E114+E119+E120</f>
        <v>0</v>
      </c>
      <c r="F117" s="559"/>
    </row>
    <row r="118" spans="1:6" s="489" customFormat="1" ht="12.75">
      <c r="A118" s="498"/>
      <c r="B118" s="568" t="s">
        <v>976</v>
      </c>
      <c r="C118" s="494"/>
      <c r="D118" s="495"/>
      <c r="E118" s="495"/>
      <c r="F118" s="496"/>
    </row>
    <row r="119" spans="1:6" s="489" customFormat="1" ht="12.75">
      <c r="A119" s="493" t="s">
        <v>1060</v>
      </c>
      <c r="B119" s="568" t="s">
        <v>1059</v>
      </c>
      <c r="C119" s="494"/>
      <c r="D119" s="495"/>
      <c r="E119" s="495"/>
      <c r="F119" s="496"/>
    </row>
    <row r="120" spans="1:6" s="489" customFormat="1" ht="12.75">
      <c r="A120" s="493" t="s">
        <v>1058</v>
      </c>
      <c r="B120" s="568" t="s">
        <v>977</v>
      </c>
      <c r="C120" s="622">
        <f>SUM(C122:C128)</f>
        <v>6920</v>
      </c>
      <c r="D120" s="623">
        <f>SUM(D122:D128)</f>
        <v>1.0125</v>
      </c>
      <c r="E120" s="623">
        <f>SUM(E122:E128)</f>
        <v>0</v>
      </c>
      <c r="F120" s="496"/>
    </row>
    <row r="121" spans="1:6" s="489" customFormat="1" ht="12.75">
      <c r="A121" s="493"/>
      <c r="B121" s="568" t="s">
        <v>976</v>
      </c>
      <c r="C121" s="494"/>
      <c r="D121" s="495"/>
      <c r="E121" s="495"/>
      <c r="F121" s="496"/>
    </row>
    <row r="122" spans="1:6" s="489" customFormat="1" ht="12.75">
      <c r="A122" s="497" t="s">
        <v>1057</v>
      </c>
      <c r="B122" s="561" t="s">
        <v>974</v>
      </c>
      <c r="C122" s="515"/>
      <c r="D122" s="516"/>
      <c r="E122" s="516"/>
      <c r="F122" s="517"/>
    </row>
    <row r="123" spans="1:6" ht="12.75">
      <c r="A123" s="493" t="s">
        <v>1056</v>
      </c>
      <c r="B123" s="485" t="s">
        <v>1254</v>
      </c>
      <c r="C123" s="484"/>
      <c r="D123" s="483"/>
      <c r="E123" s="483"/>
      <c r="F123" s="482"/>
    </row>
    <row r="124" spans="1:6" ht="12.75">
      <c r="A124" s="493" t="s">
        <v>1055</v>
      </c>
      <c r="B124" s="485" t="s">
        <v>1025</v>
      </c>
      <c r="C124" s="484"/>
      <c r="D124" s="483"/>
      <c r="E124" s="483"/>
      <c r="F124" s="482"/>
    </row>
    <row r="125" spans="1:6" ht="12.75">
      <c r="A125" s="493" t="s">
        <v>1235</v>
      </c>
      <c r="B125" s="485" t="s">
        <v>1016</v>
      </c>
      <c r="C125" s="484"/>
      <c r="D125" s="483"/>
      <c r="E125" s="483"/>
      <c r="F125" s="482"/>
    </row>
    <row r="126" spans="1:6" ht="12.75">
      <c r="A126" s="493" t="s">
        <v>1236</v>
      </c>
      <c r="B126" s="485" t="s">
        <v>1027</v>
      </c>
      <c r="C126" s="484">
        <v>6920</v>
      </c>
      <c r="D126" s="483">
        <v>1.0125</v>
      </c>
      <c r="E126" s="483"/>
      <c r="F126" s="482"/>
    </row>
    <row r="127" spans="1:6" ht="12.75">
      <c r="A127" s="493" t="s">
        <v>1237</v>
      </c>
      <c r="B127" s="485"/>
      <c r="C127" s="484"/>
      <c r="D127" s="483"/>
      <c r="E127" s="483"/>
      <c r="F127" s="482"/>
    </row>
    <row r="128" spans="1:6" ht="12.75">
      <c r="A128" s="493" t="s">
        <v>1238</v>
      </c>
      <c r="C128" s="484"/>
      <c r="D128" s="483"/>
      <c r="E128" s="483"/>
      <c r="F128" s="482"/>
    </row>
    <row r="129" spans="1:6" ht="12.75">
      <c r="A129" s="486">
        <v>20</v>
      </c>
      <c r="B129" s="569" t="s">
        <v>965</v>
      </c>
      <c r="C129" s="484">
        <v>275.805</v>
      </c>
      <c r="D129" s="483">
        <v>0.051</v>
      </c>
      <c r="E129" s="483"/>
      <c r="F129" s="487"/>
    </row>
    <row r="130" spans="1:6" ht="12.75">
      <c r="A130" s="486">
        <v>21</v>
      </c>
      <c r="B130" s="570" t="s">
        <v>963</v>
      </c>
      <c r="C130" s="622">
        <f>C132+C133</f>
        <v>21.6</v>
      </c>
      <c r="D130" s="623">
        <f>D132+D133</f>
        <v>0.003</v>
      </c>
      <c r="E130" s="623">
        <f>E132+E133</f>
        <v>0</v>
      </c>
      <c r="F130" s="482"/>
    </row>
    <row r="131" spans="1:6" ht="12.75">
      <c r="A131" s="486"/>
      <c r="B131" s="485" t="s">
        <v>958</v>
      </c>
      <c r="C131" s="484"/>
      <c r="D131" s="483"/>
      <c r="E131" s="483"/>
      <c r="F131" s="482"/>
    </row>
    <row r="132" spans="1:6" ht="12.75">
      <c r="A132" s="481" t="s">
        <v>1053</v>
      </c>
      <c r="B132" s="564" t="s">
        <v>961</v>
      </c>
      <c r="C132" s="484">
        <v>21.6</v>
      </c>
      <c r="D132" s="483">
        <v>0.003</v>
      </c>
      <c r="E132" s="483"/>
      <c r="F132" s="482"/>
    </row>
    <row r="133" spans="1:6" ht="12.75">
      <c r="A133" s="481" t="s">
        <v>1052</v>
      </c>
      <c r="B133" s="564" t="s">
        <v>959</v>
      </c>
      <c r="C133" s="622">
        <f>SUM(C135:C139)</f>
        <v>0</v>
      </c>
      <c r="D133" s="623">
        <f>SUM(D135:D139)</f>
        <v>0</v>
      </c>
      <c r="E133" s="623">
        <f>SUM(E135:E139)</f>
        <v>0</v>
      </c>
      <c r="F133" s="482"/>
    </row>
    <row r="134" spans="1:6" ht="12.75">
      <c r="A134" s="481"/>
      <c r="B134" s="485" t="s">
        <v>958</v>
      </c>
      <c r="C134" s="484"/>
      <c r="D134" s="483"/>
      <c r="E134" s="483"/>
      <c r="F134" s="482"/>
    </row>
    <row r="135" spans="1:6" ht="12.75">
      <c r="A135" s="481" t="s">
        <v>1051</v>
      </c>
      <c r="B135" s="485" t="s">
        <v>1315</v>
      </c>
      <c r="C135" s="484"/>
      <c r="D135" s="483"/>
      <c r="E135" s="483"/>
      <c r="F135" s="482"/>
    </row>
    <row r="136" spans="1:6" ht="12.75">
      <c r="A136" s="481" t="s">
        <v>1044</v>
      </c>
      <c r="B136" s="485" t="s">
        <v>996</v>
      </c>
      <c r="C136" s="484"/>
      <c r="D136" s="483"/>
      <c r="E136" s="483"/>
      <c r="F136" s="482"/>
    </row>
    <row r="137" spans="1:6" ht="12.75">
      <c r="A137" s="481" t="s">
        <v>1050</v>
      </c>
      <c r="B137" s="485" t="s">
        <v>1048</v>
      </c>
      <c r="C137" s="484"/>
      <c r="D137" s="483"/>
      <c r="E137" s="483"/>
      <c r="F137" s="482"/>
    </row>
    <row r="138" spans="1:6" ht="12.75">
      <c r="A138" s="481" t="s">
        <v>1049</v>
      </c>
      <c r="B138" s="485" t="s">
        <v>1247</v>
      </c>
      <c r="C138" s="484"/>
      <c r="D138" s="483"/>
      <c r="E138" s="483"/>
      <c r="F138" s="482"/>
    </row>
    <row r="139" spans="1:6" ht="12.75">
      <c r="A139" s="481" t="s">
        <v>1047</v>
      </c>
      <c r="C139" s="484"/>
      <c r="D139" s="483"/>
      <c r="E139" s="483"/>
      <c r="F139" s="482"/>
    </row>
    <row r="140" spans="1:6" ht="12.75">
      <c r="A140" s="481" t="s">
        <v>1046</v>
      </c>
      <c r="B140" s="564" t="s">
        <v>1045</v>
      </c>
      <c r="C140" s="484"/>
      <c r="D140" s="483"/>
      <c r="E140" s="483"/>
      <c r="F140" s="482"/>
    </row>
    <row r="141" spans="1:6" ht="12.75">
      <c r="A141" s="481" t="s">
        <v>1044</v>
      </c>
      <c r="B141" s="564" t="s">
        <v>989</v>
      </c>
      <c r="C141" s="484"/>
      <c r="D141" s="483"/>
      <c r="E141" s="483"/>
      <c r="F141" s="482"/>
    </row>
    <row r="142" spans="1:6" ht="12" customHeight="1">
      <c r="A142" s="481" t="s">
        <v>1043</v>
      </c>
      <c r="B142" s="564" t="s">
        <v>1042</v>
      </c>
      <c r="C142" s="484"/>
      <c r="D142" s="483"/>
      <c r="E142" s="483"/>
      <c r="F142" s="482"/>
    </row>
    <row r="143" spans="1:9" ht="12.75">
      <c r="A143" s="481" t="s">
        <v>1041</v>
      </c>
      <c r="B143" s="564" t="s">
        <v>1040</v>
      </c>
      <c r="C143" s="622">
        <f>C117-C129-C130</f>
        <v>6622.594999999999</v>
      </c>
      <c r="D143" s="623">
        <f>D117-D129-D130</f>
        <v>0.9584999999999999</v>
      </c>
      <c r="E143" s="623">
        <f>E117-E129-E130</f>
        <v>0</v>
      </c>
      <c r="F143" s="482"/>
      <c r="G143" s="476" t="s">
        <v>1246</v>
      </c>
      <c r="H143" s="518">
        <f>C144+C145</f>
        <v>6622.595</v>
      </c>
      <c r="I143" s="518">
        <f>D144+D145</f>
        <v>0.9585</v>
      </c>
    </row>
    <row r="144" spans="1:6" ht="12.75">
      <c r="A144" s="481" t="s">
        <v>1039</v>
      </c>
      <c r="B144" s="566" t="s">
        <v>1038</v>
      </c>
      <c r="C144" s="484">
        <v>6622.595</v>
      </c>
      <c r="D144" s="483">
        <v>0.9585</v>
      </c>
      <c r="E144" s="483"/>
      <c r="F144" s="482"/>
    </row>
    <row r="145" spans="1:6" ht="12.75">
      <c r="A145" s="481" t="s">
        <v>1037</v>
      </c>
      <c r="B145" s="566" t="s">
        <v>983</v>
      </c>
      <c r="C145" s="484"/>
      <c r="D145" s="483"/>
      <c r="E145" s="483"/>
      <c r="F145" s="482"/>
    </row>
    <row r="146" spans="1:6" s="489" customFormat="1" ht="15.75" customHeight="1">
      <c r="A146" s="499" t="s">
        <v>1036</v>
      </c>
      <c r="B146" s="567" t="s">
        <v>1035</v>
      </c>
      <c r="C146" s="626">
        <f>C115+C144+C148+C149</f>
        <v>87602.595</v>
      </c>
      <c r="D146" s="627">
        <f>D115+D144+D148+D149</f>
        <v>14.949500000000002</v>
      </c>
      <c r="E146" s="627"/>
      <c r="F146" s="628"/>
    </row>
    <row r="147" spans="1:6" ht="12.75">
      <c r="A147" s="481"/>
      <c r="B147" s="485" t="s">
        <v>976</v>
      </c>
      <c r="C147" s="484"/>
      <c r="D147" s="483"/>
      <c r="E147" s="483"/>
      <c r="F147" s="482"/>
    </row>
    <row r="148" spans="1:6" ht="15" customHeight="1">
      <c r="A148" s="481" t="s">
        <v>1034</v>
      </c>
      <c r="B148" s="564" t="s">
        <v>1239</v>
      </c>
      <c r="C148" s="573"/>
      <c r="D148" s="483"/>
      <c r="E148" s="483"/>
      <c r="F148" s="482"/>
    </row>
    <row r="149" spans="1:6" ht="12.75">
      <c r="A149" s="481" t="s">
        <v>1033</v>
      </c>
      <c r="B149" s="485" t="s">
        <v>977</v>
      </c>
      <c r="C149" s="629">
        <f>SUM(C151:C167)</f>
        <v>2390</v>
      </c>
      <c r="D149" s="630">
        <f>SUM(D151:D167)</f>
        <v>0.348</v>
      </c>
      <c r="E149" s="630">
        <f>SUM(E151:E167)</f>
        <v>0</v>
      </c>
      <c r="F149" s="482"/>
    </row>
    <row r="150" spans="1:6" ht="12.75">
      <c r="A150" s="481"/>
      <c r="B150" s="485" t="s">
        <v>976</v>
      </c>
      <c r="C150" s="573"/>
      <c r="D150" s="483"/>
      <c r="E150" s="483"/>
      <c r="F150" s="482"/>
    </row>
    <row r="151" spans="1:6" ht="12.75">
      <c r="A151" s="481" t="s">
        <v>1032</v>
      </c>
      <c r="B151" s="485" t="s">
        <v>1031</v>
      </c>
      <c r="C151" s="484"/>
      <c r="D151" s="483"/>
      <c r="E151" s="483"/>
      <c r="F151" s="482"/>
    </row>
    <row r="152" spans="1:6" ht="12.75">
      <c r="A152" s="481" t="s">
        <v>1030</v>
      </c>
      <c r="B152" s="485" t="s">
        <v>970</v>
      </c>
      <c r="C152" s="484"/>
      <c r="D152" s="483"/>
      <c r="E152" s="483"/>
      <c r="F152" s="482"/>
    </row>
    <row r="153" spans="1:6" ht="12.75">
      <c r="A153" s="497" t="s">
        <v>1029</v>
      </c>
      <c r="B153" s="561" t="s">
        <v>974</v>
      </c>
      <c r="C153" s="515"/>
      <c r="D153" s="516"/>
      <c r="E153" s="516"/>
      <c r="F153" s="517"/>
    </row>
    <row r="154" spans="1:6" ht="12.75">
      <c r="A154" s="481" t="s">
        <v>1028</v>
      </c>
      <c r="B154" s="485" t="s">
        <v>1027</v>
      </c>
      <c r="C154" s="484">
        <v>2390</v>
      </c>
      <c r="D154" s="483">
        <v>0.348</v>
      </c>
      <c r="E154" s="483"/>
      <c r="F154" s="482"/>
    </row>
    <row r="155" spans="1:6" ht="12.75">
      <c r="A155" s="481" t="s">
        <v>1026</v>
      </c>
      <c r="B155" s="485" t="s">
        <v>1025</v>
      </c>
      <c r="C155" s="484"/>
      <c r="D155" s="483"/>
      <c r="E155" s="483"/>
      <c r="F155" s="482"/>
    </row>
    <row r="156" spans="1:6" ht="12.75">
      <c r="A156" s="481" t="s">
        <v>1024</v>
      </c>
      <c r="B156" s="485"/>
      <c r="C156" s="484"/>
      <c r="D156" s="483"/>
      <c r="E156" s="483"/>
      <c r="F156" s="482"/>
    </row>
    <row r="157" spans="1:6" ht="12.75">
      <c r="A157" s="481" t="s">
        <v>1023</v>
      </c>
      <c r="B157" s="485" t="s">
        <v>1296</v>
      </c>
      <c r="C157" s="484"/>
      <c r="D157" s="483"/>
      <c r="E157" s="483"/>
      <c r="F157" s="482"/>
    </row>
    <row r="158" spans="1:6" ht="12.75">
      <c r="A158" s="481" t="s">
        <v>1022</v>
      </c>
      <c r="B158" s="485" t="s">
        <v>1021</v>
      </c>
      <c r="C158" s="484"/>
      <c r="D158" s="483"/>
      <c r="E158" s="483"/>
      <c r="F158" s="482"/>
    </row>
    <row r="159" spans="1:6" ht="12.75">
      <c r="A159" s="481" t="s">
        <v>1020</v>
      </c>
      <c r="B159" s="485" t="s">
        <v>1297</v>
      </c>
      <c r="C159" s="484"/>
      <c r="D159" s="483"/>
      <c r="E159" s="483"/>
      <c r="F159" s="482"/>
    </row>
    <row r="160" spans="1:6" ht="12.75">
      <c r="A160" s="481" t="s">
        <v>1019</v>
      </c>
      <c r="B160" s="485" t="s">
        <v>1018</v>
      </c>
      <c r="C160" s="484"/>
      <c r="D160" s="483"/>
      <c r="E160" s="483"/>
      <c r="F160" s="482"/>
    </row>
    <row r="161" spans="1:6" ht="12.75">
      <c r="A161" s="481" t="s">
        <v>1017</v>
      </c>
      <c r="B161" s="485" t="s">
        <v>1016</v>
      </c>
      <c r="C161" s="484"/>
      <c r="D161" s="483"/>
      <c r="E161" s="483"/>
      <c r="F161" s="482"/>
    </row>
    <row r="162" spans="1:6" ht="12.75">
      <c r="A162" s="481" t="s">
        <v>1015</v>
      </c>
      <c r="B162" s="485" t="s">
        <v>953</v>
      </c>
      <c r="C162" s="484"/>
      <c r="D162" s="483"/>
      <c r="E162" s="483"/>
      <c r="F162" s="482"/>
    </row>
    <row r="163" spans="1:6" ht="12.75">
      <c r="A163" s="481" t="s">
        <v>1240</v>
      </c>
      <c r="B163" s="485" t="s">
        <v>1254</v>
      </c>
      <c r="C163" s="484"/>
      <c r="D163" s="483"/>
      <c r="E163" s="483"/>
      <c r="F163" s="482"/>
    </row>
    <row r="164" spans="1:6" ht="12.75">
      <c r="A164" s="481" t="s">
        <v>1241</v>
      </c>
      <c r="B164" s="485" t="s">
        <v>1298</v>
      </c>
      <c r="C164" s="484"/>
      <c r="D164" s="483"/>
      <c r="E164" s="483"/>
      <c r="F164" s="482"/>
    </row>
    <row r="165" spans="1:6" ht="12.75">
      <c r="A165" s="481" t="s">
        <v>1242</v>
      </c>
      <c r="B165" s="485"/>
      <c r="C165" s="484"/>
      <c r="D165" s="483"/>
      <c r="E165" s="483"/>
      <c r="F165" s="482"/>
    </row>
    <row r="166" spans="1:6" ht="12.75">
      <c r="A166" s="481" t="s">
        <v>1243</v>
      </c>
      <c r="B166" s="485"/>
      <c r="C166" s="484"/>
      <c r="D166" s="483"/>
      <c r="E166" s="483"/>
      <c r="F166" s="482"/>
    </row>
    <row r="167" spans="1:6" ht="12.75">
      <c r="A167" s="481" t="s">
        <v>1244</v>
      </c>
      <c r="B167" s="485"/>
      <c r="C167" s="484"/>
      <c r="D167" s="483"/>
      <c r="E167" s="483"/>
      <c r="F167" s="482"/>
    </row>
    <row r="168" spans="1:6" ht="12.75">
      <c r="A168" s="481" t="s">
        <v>1014</v>
      </c>
      <c r="B168" s="569" t="s">
        <v>965</v>
      </c>
      <c r="C168" s="484">
        <v>3333.481</v>
      </c>
      <c r="D168" s="483">
        <v>0.607</v>
      </c>
      <c r="E168" s="483"/>
      <c r="F168" s="482"/>
    </row>
    <row r="169" spans="1:6" ht="12.75">
      <c r="A169" s="481" t="s">
        <v>1013</v>
      </c>
      <c r="B169" s="570" t="s">
        <v>963</v>
      </c>
      <c r="C169" s="622">
        <f>C171+C172</f>
        <v>26846</v>
      </c>
      <c r="D169" s="623">
        <f>D171+D172</f>
        <v>4.044</v>
      </c>
      <c r="E169" s="623">
        <f>E171+E172</f>
        <v>0</v>
      </c>
      <c r="F169" s="482"/>
    </row>
    <row r="170" spans="1:6" ht="12.75">
      <c r="A170" s="481"/>
      <c r="B170" s="485" t="s">
        <v>958</v>
      </c>
      <c r="C170" s="484"/>
      <c r="D170" s="483"/>
      <c r="E170" s="483"/>
      <c r="F170" s="482"/>
    </row>
    <row r="171" spans="1:6" ht="12.75">
      <c r="A171" s="481" t="s">
        <v>1012</v>
      </c>
      <c r="B171" s="564" t="s">
        <v>1011</v>
      </c>
      <c r="C171" s="484">
        <v>26846</v>
      </c>
      <c r="D171" s="483">
        <v>4.044</v>
      </c>
      <c r="E171" s="483"/>
      <c r="F171" s="482"/>
    </row>
    <row r="172" spans="1:6" ht="12.75">
      <c r="A172" s="481" t="s">
        <v>1010</v>
      </c>
      <c r="B172" s="564" t="s">
        <v>959</v>
      </c>
      <c r="C172" s="622">
        <f>SUM(C174:C189)</f>
        <v>0</v>
      </c>
      <c r="D172" s="623">
        <f>SUM(D174:D189)</f>
        <v>0</v>
      </c>
      <c r="E172" s="623"/>
      <c r="F172" s="482"/>
    </row>
    <row r="173" spans="1:6" ht="12.75">
      <c r="A173" s="481"/>
      <c r="B173" s="485" t="s">
        <v>958</v>
      </c>
      <c r="C173" s="484"/>
      <c r="D173" s="483"/>
      <c r="E173" s="483"/>
      <c r="F173" s="482"/>
    </row>
    <row r="174" spans="1:6" ht="12.75">
      <c r="A174" s="481" t="s">
        <v>1009</v>
      </c>
      <c r="B174" s="485" t="s">
        <v>1297</v>
      </c>
      <c r="C174" s="484"/>
      <c r="D174" s="483"/>
      <c r="E174" s="483"/>
      <c r="F174" s="482"/>
    </row>
    <row r="175" spans="1:6" ht="12.75">
      <c r="A175" s="481" t="s">
        <v>990</v>
      </c>
      <c r="B175" s="485" t="s">
        <v>1007</v>
      </c>
      <c r="C175" s="484"/>
      <c r="D175" s="483"/>
      <c r="E175" s="483"/>
      <c r="F175" s="482"/>
    </row>
    <row r="176" spans="1:6" ht="12.75">
      <c r="A176" s="481" t="s">
        <v>1008</v>
      </c>
      <c r="B176" s="485"/>
      <c r="C176" s="484"/>
      <c r="D176" s="483"/>
      <c r="E176" s="483"/>
      <c r="F176" s="482"/>
    </row>
    <row r="177" spans="1:6" ht="12.75">
      <c r="A177" s="481" t="s">
        <v>1006</v>
      </c>
      <c r="B177" s="485" t="s">
        <v>956</v>
      </c>
      <c r="C177" s="484"/>
      <c r="D177" s="483"/>
      <c r="E177" s="483"/>
      <c r="F177" s="482"/>
    </row>
    <row r="178" spans="1:6" ht="12.75">
      <c r="A178" s="481" t="s">
        <v>1005</v>
      </c>
      <c r="B178" s="485" t="s">
        <v>1296</v>
      </c>
      <c r="C178" s="484"/>
      <c r="D178" s="483"/>
      <c r="E178" s="483"/>
      <c r="F178" s="482"/>
    </row>
    <row r="179" spans="1:6" ht="12.75">
      <c r="A179" s="481" t="s">
        <v>1004</v>
      </c>
      <c r="B179" s="485" t="s">
        <v>1025</v>
      </c>
      <c r="C179" s="484"/>
      <c r="D179" s="483"/>
      <c r="E179" s="483"/>
      <c r="F179" s="482"/>
    </row>
    <row r="180" spans="1:6" ht="12.75">
      <c r="A180" s="481" t="s">
        <v>1003</v>
      </c>
      <c r="B180" s="485"/>
      <c r="C180" s="484"/>
      <c r="D180" s="483"/>
      <c r="E180" s="483"/>
      <c r="F180" s="482"/>
    </row>
    <row r="181" spans="1:6" ht="12.75">
      <c r="A181" s="481" t="s">
        <v>1002</v>
      </c>
      <c r="B181" s="485" t="s">
        <v>1247</v>
      </c>
      <c r="C181" s="484"/>
      <c r="D181" s="483"/>
      <c r="E181" s="483"/>
      <c r="F181" s="482"/>
    </row>
    <row r="182" spans="1:6" ht="12.75">
      <c r="A182" s="481" t="s">
        <v>1001</v>
      </c>
      <c r="B182" s="485" t="s">
        <v>974</v>
      </c>
      <c r="C182" s="484"/>
      <c r="D182" s="483"/>
      <c r="E182" s="483"/>
      <c r="F182" s="482"/>
    </row>
    <row r="183" spans="1:6" ht="12.75">
      <c r="A183" s="481" t="s">
        <v>1000</v>
      </c>
      <c r="B183" s="485" t="s">
        <v>1298</v>
      </c>
      <c r="C183" s="484"/>
      <c r="D183" s="483"/>
      <c r="E183" s="483"/>
      <c r="F183" s="482"/>
    </row>
    <row r="184" spans="1:6" ht="12.75">
      <c r="A184" s="481" t="s">
        <v>999</v>
      </c>
      <c r="B184" s="485" t="s">
        <v>996</v>
      </c>
      <c r="C184" s="484"/>
      <c r="D184" s="483"/>
      <c r="E184" s="483"/>
      <c r="F184" s="482"/>
    </row>
    <row r="185" spans="1:6" ht="12.75">
      <c r="A185" s="481" t="s">
        <v>998</v>
      </c>
      <c r="B185" s="485" t="s">
        <v>1299</v>
      </c>
      <c r="C185" s="484"/>
      <c r="D185" s="483"/>
      <c r="E185" s="483"/>
      <c r="F185" s="482"/>
    </row>
    <row r="186" spans="1:6" ht="12.75">
      <c r="A186" s="481" t="s">
        <v>997</v>
      </c>
      <c r="B186" s="485" t="s">
        <v>1254</v>
      </c>
      <c r="C186" s="484"/>
      <c r="D186" s="483"/>
      <c r="E186" s="483"/>
      <c r="F186" s="482"/>
    </row>
    <row r="187" spans="1:6" ht="12.75">
      <c r="A187" s="481" t="s">
        <v>995</v>
      </c>
      <c r="B187" s="485" t="s">
        <v>953</v>
      </c>
      <c r="C187" s="484"/>
      <c r="D187" s="483"/>
      <c r="E187" s="483"/>
      <c r="F187" s="482"/>
    </row>
    <row r="188" spans="1:6" ht="12.75">
      <c r="A188" s="481" t="s">
        <v>994</v>
      </c>
      <c r="B188" s="485"/>
      <c r="C188" s="484"/>
      <c r="D188" s="483"/>
      <c r="E188" s="483"/>
      <c r="F188" s="482"/>
    </row>
    <row r="189" spans="1:6" ht="12.75">
      <c r="A189" s="481" t="s">
        <v>993</v>
      </c>
      <c r="B189" s="485"/>
      <c r="C189" s="484"/>
      <c r="D189" s="483"/>
      <c r="E189" s="483"/>
      <c r="F189" s="482"/>
    </row>
    <row r="190" spans="1:6" ht="15.75" customHeight="1">
      <c r="A190" s="481" t="s">
        <v>992</v>
      </c>
      <c r="B190" s="564" t="s">
        <v>991</v>
      </c>
      <c r="C190" s="484"/>
      <c r="D190" s="483"/>
      <c r="E190" s="483"/>
      <c r="F190" s="482"/>
    </row>
    <row r="191" spans="1:6" ht="12.75">
      <c r="A191" s="481" t="s">
        <v>990</v>
      </c>
      <c r="B191" s="564" t="s">
        <v>989</v>
      </c>
      <c r="C191" s="484"/>
      <c r="D191" s="483"/>
      <c r="E191" s="483"/>
      <c r="F191" s="482"/>
    </row>
    <row r="192" spans="1:6" ht="15.75" customHeight="1">
      <c r="A192" s="481" t="s">
        <v>988</v>
      </c>
      <c r="B192" s="564" t="s">
        <v>987</v>
      </c>
      <c r="C192" s="484"/>
      <c r="D192" s="483"/>
      <c r="E192" s="483"/>
      <c r="F192" s="482"/>
    </row>
    <row r="193" spans="1:6" ht="12.75">
      <c r="A193" s="481" t="s">
        <v>986</v>
      </c>
      <c r="B193" s="564" t="s">
        <v>985</v>
      </c>
      <c r="C193" s="622">
        <f>C146-C168-C169</f>
        <v>57423.114</v>
      </c>
      <c r="D193" s="623">
        <f>D146-D168-D169</f>
        <v>10.298500000000004</v>
      </c>
      <c r="E193" s="623"/>
      <c r="F193" s="482"/>
    </row>
    <row r="194" spans="1:6" ht="12.75">
      <c r="A194" s="481" t="s">
        <v>984</v>
      </c>
      <c r="B194" s="566" t="s">
        <v>983</v>
      </c>
      <c r="C194" s="622">
        <f>C193</f>
        <v>57423.114</v>
      </c>
      <c r="D194" s="623">
        <f>D193</f>
        <v>10.298500000000004</v>
      </c>
      <c r="E194" s="623"/>
      <c r="F194" s="482"/>
    </row>
    <row r="195" spans="1:6" ht="18.75" customHeight="1">
      <c r="A195" s="499" t="s">
        <v>982</v>
      </c>
      <c r="B195" s="567" t="s">
        <v>981</v>
      </c>
      <c r="C195" s="626">
        <f>C116+C145+C194+C197+C198</f>
        <v>57423.114</v>
      </c>
      <c r="D195" s="627">
        <f>D116+D145+D194+D197+D198</f>
        <v>10.298500000000004</v>
      </c>
      <c r="E195" s="627"/>
      <c r="F195" s="628"/>
    </row>
    <row r="196" spans="1:6" ht="12.75">
      <c r="A196" s="481"/>
      <c r="B196" s="485" t="s">
        <v>976</v>
      </c>
      <c r="C196" s="484"/>
      <c r="D196" s="483"/>
      <c r="E196" s="483"/>
      <c r="F196" s="482"/>
    </row>
    <row r="197" spans="1:6" ht="12.75">
      <c r="A197" s="481" t="s">
        <v>980</v>
      </c>
      <c r="B197" s="485" t="s">
        <v>979</v>
      </c>
      <c r="C197" s="484"/>
      <c r="D197" s="483"/>
      <c r="E197" s="483"/>
      <c r="F197" s="482"/>
    </row>
    <row r="198" spans="1:6" ht="12.75">
      <c r="A198" s="481" t="s">
        <v>978</v>
      </c>
      <c r="B198" s="485" t="s">
        <v>977</v>
      </c>
      <c r="C198" s="622">
        <f>SUM(C200:C206)</f>
        <v>0</v>
      </c>
      <c r="D198" s="623">
        <f>SUM(D200:D206)</f>
        <v>0</v>
      </c>
      <c r="E198" s="623"/>
      <c r="F198" s="482"/>
    </row>
    <row r="199" spans="1:6" ht="12.75">
      <c r="A199" s="481"/>
      <c r="B199" s="485" t="s">
        <v>976</v>
      </c>
      <c r="C199" s="484"/>
      <c r="D199" s="483"/>
      <c r="E199" s="483"/>
      <c r="F199" s="482"/>
    </row>
    <row r="200" spans="1:6" ht="12.75">
      <c r="A200" s="497" t="s">
        <v>975</v>
      </c>
      <c r="B200" s="561" t="s">
        <v>974</v>
      </c>
      <c r="C200" s="515"/>
      <c r="D200" s="516"/>
      <c r="E200" s="516"/>
      <c r="F200" s="517"/>
    </row>
    <row r="201" spans="1:6" ht="12.75">
      <c r="A201" s="481" t="s">
        <v>973</v>
      </c>
      <c r="B201" s="485" t="s">
        <v>1296</v>
      </c>
      <c r="C201" s="484"/>
      <c r="D201" s="483"/>
      <c r="E201" s="483"/>
      <c r="F201" s="482"/>
    </row>
    <row r="202" spans="1:6" ht="12.75">
      <c r="A202" s="481" t="s">
        <v>972</v>
      </c>
      <c r="B202" s="485" t="s">
        <v>953</v>
      </c>
      <c r="C202" s="484"/>
      <c r="D202" s="483"/>
      <c r="E202" s="483"/>
      <c r="F202" s="482"/>
    </row>
    <row r="203" spans="1:6" ht="12.75">
      <c r="A203" s="481" t="s">
        <v>971</v>
      </c>
      <c r="B203" s="485" t="s">
        <v>970</v>
      </c>
      <c r="C203" s="484"/>
      <c r="D203" s="483"/>
      <c r="E203" s="483"/>
      <c r="F203" s="482"/>
    </row>
    <row r="204" spans="1:6" ht="12.75">
      <c r="A204" s="481" t="s">
        <v>969</v>
      </c>
      <c r="B204" s="485" t="s">
        <v>1297</v>
      </c>
      <c r="C204" s="484"/>
      <c r="D204" s="483"/>
      <c r="E204" s="483"/>
      <c r="F204" s="482"/>
    </row>
    <row r="205" spans="1:6" ht="12.75">
      <c r="A205" s="481" t="s">
        <v>968</v>
      </c>
      <c r="B205" s="485"/>
      <c r="C205" s="484"/>
      <c r="D205" s="483"/>
      <c r="E205" s="483"/>
      <c r="F205" s="482"/>
    </row>
    <row r="206" spans="1:6" ht="12.75">
      <c r="A206" s="481" t="s">
        <v>1248</v>
      </c>
      <c r="B206" s="485" t="s">
        <v>1254</v>
      </c>
      <c r="C206" s="484"/>
      <c r="D206" s="483"/>
      <c r="E206" s="483"/>
      <c r="F206" s="482"/>
    </row>
    <row r="207" spans="1:6" ht="12.75">
      <c r="A207" s="481" t="s">
        <v>966</v>
      </c>
      <c r="B207" s="569" t="s">
        <v>965</v>
      </c>
      <c r="C207" s="484">
        <v>6414.32</v>
      </c>
      <c r="D207" s="483">
        <v>1.077</v>
      </c>
      <c r="E207" s="483"/>
      <c r="F207" s="482"/>
    </row>
    <row r="208" spans="1:6" ht="12.75">
      <c r="A208" s="481" t="s">
        <v>964</v>
      </c>
      <c r="B208" s="570" t="s">
        <v>963</v>
      </c>
      <c r="C208" s="622">
        <f>C195-C207</f>
        <v>51008.794</v>
      </c>
      <c r="D208" s="623">
        <f>D195-D207</f>
        <v>9.221500000000004</v>
      </c>
      <c r="E208" s="623"/>
      <c r="F208" s="482"/>
    </row>
    <row r="209" spans="1:6" ht="12.75">
      <c r="A209" s="481"/>
      <c r="B209" s="485" t="s">
        <v>958</v>
      </c>
      <c r="C209" s="484"/>
      <c r="D209" s="483"/>
      <c r="E209" s="483"/>
      <c r="F209" s="482"/>
    </row>
    <row r="210" spans="1:6" ht="12.75">
      <c r="A210" s="481" t="s">
        <v>962</v>
      </c>
      <c r="B210" s="564" t="s">
        <v>961</v>
      </c>
      <c r="C210" s="484">
        <v>51008.794</v>
      </c>
      <c r="D210" s="483">
        <v>9.221</v>
      </c>
      <c r="E210" s="483"/>
      <c r="F210" s="482"/>
    </row>
    <row r="211" spans="1:6" ht="12.75">
      <c r="A211" s="481" t="s">
        <v>960</v>
      </c>
      <c r="B211" s="564" t="s">
        <v>959</v>
      </c>
      <c r="C211" s="622">
        <f>SUM(C213:C216)</f>
        <v>0</v>
      </c>
      <c r="D211" s="623">
        <f>SUM(D213:D216)</f>
        <v>0</v>
      </c>
      <c r="E211" s="623"/>
      <c r="F211" s="482"/>
    </row>
    <row r="212" spans="1:6" ht="12.75">
      <c r="A212" s="481"/>
      <c r="B212" s="485" t="s">
        <v>958</v>
      </c>
      <c r="C212" s="484"/>
      <c r="D212" s="483"/>
      <c r="E212" s="483"/>
      <c r="F212" s="482"/>
    </row>
    <row r="213" spans="1:6" ht="12.75">
      <c r="A213" s="481" t="s">
        <v>957</v>
      </c>
      <c r="B213" s="485"/>
      <c r="C213" s="484"/>
      <c r="D213" s="483"/>
      <c r="E213" s="483"/>
      <c r="F213" s="482"/>
    </row>
    <row r="214" spans="1:6" ht="12.75">
      <c r="A214" s="481" t="s">
        <v>955</v>
      </c>
      <c r="B214" s="485" t="s">
        <v>953</v>
      </c>
      <c r="C214" s="484"/>
      <c r="D214" s="483"/>
      <c r="E214" s="483"/>
      <c r="F214" s="482"/>
    </row>
    <row r="215" spans="1:6" ht="12.75">
      <c r="A215" s="481" t="s">
        <v>954</v>
      </c>
      <c r="B215" s="485" t="s">
        <v>1254</v>
      </c>
      <c r="C215" s="484"/>
      <c r="D215" s="483"/>
      <c r="E215" s="483"/>
      <c r="F215" s="482"/>
    </row>
    <row r="216" spans="1:6" ht="12.75">
      <c r="A216" s="481" t="s">
        <v>954</v>
      </c>
      <c r="B216" s="485"/>
      <c r="C216" s="484"/>
      <c r="D216" s="483"/>
      <c r="E216" s="483"/>
      <c r="F216" s="482"/>
    </row>
    <row r="217" spans="1:6" ht="15" customHeight="1" thickBot="1">
      <c r="A217" s="480" t="s">
        <v>952</v>
      </c>
      <c r="B217" s="571" t="s">
        <v>951</v>
      </c>
      <c r="C217" s="479"/>
      <c r="D217" s="478"/>
      <c r="E217" s="478"/>
      <c r="F217" s="477"/>
    </row>
    <row r="220" spans="1:6" ht="15">
      <c r="A220" s="576" t="s">
        <v>1343</v>
      </c>
      <c r="B220" s="608"/>
      <c r="C220" s="607"/>
      <c r="D220" s="608" t="s">
        <v>1342</v>
      </c>
      <c r="E220" s="608"/>
      <c r="F220" s="576"/>
    </row>
    <row r="221" spans="1:7" ht="15">
      <c r="A221" s="576"/>
      <c r="B221" s="576"/>
      <c r="C221" s="576" t="s">
        <v>1288</v>
      </c>
      <c r="D221" s="576"/>
      <c r="E221" s="576"/>
      <c r="F221" s="576"/>
      <c r="G221" s="576"/>
    </row>
    <row r="222" spans="1:7" ht="15">
      <c r="A222" s="576" t="s">
        <v>1347</v>
      </c>
      <c r="B222" s="576"/>
      <c r="C222" s="576"/>
      <c r="D222" s="576"/>
      <c r="E222" s="576"/>
      <c r="F222" s="576"/>
      <c r="G222" s="576"/>
    </row>
  </sheetData>
  <sheetProtection/>
  <mergeCells count="5">
    <mergeCell ref="A4:F4"/>
    <mergeCell ref="A6:A8"/>
    <mergeCell ref="B6:B8"/>
    <mergeCell ref="C6:F6"/>
    <mergeCell ref="C7:F7"/>
  </mergeCells>
  <printOptions/>
  <pageMargins left="0.7086614173228347" right="0.15748031496062992" top="0.2362204724409449" bottom="0.2755905511811024" header="0.15748031496062992" footer="0.15748031496062992"/>
  <pageSetup horizontalDpi="300" verticalDpi="300" orientation="portrait" paperSize="9" scale="70" r:id="rId1"/>
  <colBreaks count="1" manualBreakCount="1">
    <brk id="6" max="221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U222"/>
  <sheetViews>
    <sheetView showZeros="0" zoomScale="75" zoomScaleNormal="75" zoomScaleSheetLayoutView="80" zoomScalePageLayoutView="0" workbookViewId="0" topLeftCell="A1">
      <pane ySplit="8" topLeftCell="A213" activePane="bottomLeft" state="frozen"/>
      <selection pane="topLeft" activeCell="A1" sqref="A1"/>
      <selection pane="bottomLeft" activeCell="A220" sqref="A220:F222"/>
    </sheetView>
  </sheetViews>
  <sheetFormatPr defaultColWidth="9.140625" defaultRowHeight="11.25"/>
  <cols>
    <col min="1" max="1" width="7.7109375" style="476" customWidth="1"/>
    <col min="2" max="2" width="53.7109375" style="476" customWidth="1"/>
    <col min="3" max="3" width="15.00390625" style="476" customWidth="1"/>
    <col min="4" max="4" width="13.28125" style="476" customWidth="1"/>
    <col min="5" max="5" width="13.140625" style="476" customWidth="1"/>
    <col min="6" max="6" width="12.28125" style="476" customWidth="1"/>
    <col min="7" max="7" width="15.00390625" style="476" customWidth="1"/>
    <col min="8" max="8" width="13.28125" style="476" customWidth="1"/>
    <col min="9" max="9" width="13.140625" style="476" customWidth="1"/>
    <col min="10" max="10" width="12.28125" style="476" customWidth="1"/>
    <col min="11" max="11" width="13.8515625" style="476" customWidth="1"/>
    <col min="12" max="12" width="11.8515625" style="476" customWidth="1"/>
    <col min="13" max="13" width="16.7109375" style="476" customWidth="1"/>
    <col min="14" max="16384" width="9.140625" style="476" customWidth="1"/>
  </cols>
  <sheetData>
    <row r="1" spans="1:2" ht="14.25">
      <c r="A1" s="512" t="s">
        <v>1146</v>
      </c>
      <c r="B1" s="492"/>
    </row>
    <row r="2" spans="11:21" ht="15">
      <c r="K2" s="545" t="s">
        <v>1250</v>
      </c>
      <c r="L2" s="546"/>
      <c r="M2" s="546"/>
      <c r="N2" s="546"/>
      <c r="O2" s="546"/>
      <c r="P2" s="546"/>
      <c r="Q2" s="546"/>
      <c r="R2" s="546"/>
      <c r="S2" s="546"/>
      <c r="T2" s="546"/>
      <c r="U2" s="546"/>
    </row>
    <row r="3" spans="1:21" ht="12.75" customHeight="1">
      <c r="A3" s="491"/>
      <c r="B3" s="491"/>
      <c r="K3" s="545" t="s">
        <v>1251</v>
      </c>
      <c r="L3" s="546"/>
      <c r="M3" s="546"/>
      <c r="N3" s="546"/>
      <c r="O3" s="546"/>
      <c r="P3" s="546"/>
      <c r="Q3" s="546"/>
      <c r="R3" s="546"/>
      <c r="S3" s="546"/>
      <c r="T3" s="546"/>
      <c r="U3" s="546"/>
    </row>
    <row r="4" spans="1:11" ht="15.75">
      <c r="A4" s="810" t="s">
        <v>1249</v>
      </c>
      <c r="B4" s="810"/>
      <c r="C4" s="810"/>
      <c r="D4" s="810"/>
      <c r="E4" s="810"/>
      <c r="F4" s="810"/>
      <c r="G4" s="544"/>
      <c r="H4" s="544"/>
      <c r="I4" s="544"/>
      <c r="J4" s="544"/>
      <c r="K4" s="544"/>
    </row>
    <row r="5" spans="1:19" ht="21" thickBot="1">
      <c r="A5" s="490"/>
      <c r="B5" s="490"/>
      <c r="K5" s="609" t="s">
        <v>1316</v>
      </c>
      <c r="L5" s="609"/>
      <c r="M5" s="546"/>
      <c r="N5" s="489"/>
      <c r="O5" s="621" t="s">
        <v>1314</v>
      </c>
      <c r="P5" s="620"/>
      <c r="Q5" s="620"/>
      <c r="R5" s="620"/>
      <c r="S5" s="620"/>
    </row>
    <row r="6" spans="1:10" s="489" customFormat="1" ht="19.5" customHeight="1" thickBot="1">
      <c r="A6" s="811" t="s">
        <v>24</v>
      </c>
      <c r="B6" s="814" t="s">
        <v>509</v>
      </c>
      <c r="C6" s="817" t="s">
        <v>1318</v>
      </c>
      <c r="D6" s="818"/>
      <c r="E6" s="818"/>
      <c r="F6" s="819"/>
      <c r="G6" s="817" t="s">
        <v>1317</v>
      </c>
      <c r="H6" s="818"/>
      <c r="I6" s="818"/>
      <c r="J6" s="819"/>
    </row>
    <row r="7" spans="1:10" s="489" customFormat="1" ht="18" customHeight="1">
      <c r="A7" s="812"/>
      <c r="B7" s="815"/>
      <c r="C7" s="817"/>
      <c r="D7" s="818"/>
      <c r="E7" s="818"/>
      <c r="F7" s="819"/>
      <c r="G7" s="817"/>
      <c r="H7" s="818"/>
      <c r="I7" s="818"/>
      <c r="J7" s="819"/>
    </row>
    <row r="8" spans="1:10" ht="53.25" customHeight="1" thickBot="1">
      <c r="A8" s="813"/>
      <c r="B8" s="816"/>
      <c r="C8" s="631" t="s">
        <v>1145</v>
      </c>
      <c r="D8" s="632" t="s">
        <v>1144</v>
      </c>
      <c r="E8" s="632" t="s">
        <v>1143</v>
      </c>
      <c r="F8" s="633" t="s">
        <v>1142</v>
      </c>
      <c r="G8" s="631" t="s">
        <v>1145</v>
      </c>
      <c r="H8" s="632" t="s">
        <v>1144</v>
      </c>
      <c r="I8" s="632" t="s">
        <v>1143</v>
      </c>
      <c r="J8" s="633" t="s">
        <v>1142</v>
      </c>
    </row>
    <row r="9" spans="1:10" ht="25.5" customHeight="1">
      <c r="A9" s="488">
        <v>1</v>
      </c>
      <c r="B9" s="560" t="s">
        <v>1141</v>
      </c>
      <c r="C9" s="624">
        <f>C11+C12</f>
        <v>44505</v>
      </c>
      <c r="D9" s="634">
        <f>D11+D12</f>
        <v>15.266000000000002</v>
      </c>
      <c r="E9" s="634">
        <v>88</v>
      </c>
      <c r="F9" s="572"/>
      <c r="G9" s="624">
        <f>G11+G12</f>
        <v>43395</v>
      </c>
      <c r="H9" s="634">
        <f>H11+H12</f>
        <v>14.74</v>
      </c>
      <c r="I9" s="634">
        <v>88</v>
      </c>
      <c r="J9" s="572"/>
    </row>
    <row r="10" spans="1:10" ht="12.75">
      <c r="A10" s="486"/>
      <c r="B10" s="485" t="s">
        <v>976</v>
      </c>
      <c r="C10" s="484"/>
      <c r="D10" s="483"/>
      <c r="E10" s="483"/>
      <c r="F10" s="482"/>
      <c r="G10" s="484"/>
      <c r="H10" s="483"/>
      <c r="I10" s="483"/>
      <c r="J10" s="482"/>
    </row>
    <row r="11" spans="1:10" ht="12.75">
      <c r="A11" s="481" t="s">
        <v>39</v>
      </c>
      <c r="B11" s="485" t="s">
        <v>979</v>
      </c>
      <c r="C11" s="484"/>
      <c r="D11" s="483"/>
      <c r="E11" s="483"/>
      <c r="F11" s="482"/>
      <c r="G11" s="484"/>
      <c r="H11" s="483"/>
      <c r="I11" s="483"/>
      <c r="J11" s="482"/>
    </row>
    <row r="12" spans="1:10" ht="12.75">
      <c r="A12" s="481" t="s">
        <v>42</v>
      </c>
      <c r="B12" s="485" t="s">
        <v>977</v>
      </c>
      <c r="C12" s="622">
        <f>SUM(C14:C32)</f>
        <v>44505</v>
      </c>
      <c r="D12" s="623">
        <f>SUM(D14:D32)</f>
        <v>15.266000000000002</v>
      </c>
      <c r="E12" s="623"/>
      <c r="F12" s="482"/>
      <c r="G12" s="622">
        <f>SUM(G14:G32)</f>
        <v>43395</v>
      </c>
      <c r="H12" s="623">
        <f>SUM(H14:H32)</f>
        <v>14.74</v>
      </c>
      <c r="I12" s="623"/>
      <c r="J12" s="482"/>
    </row>
    <row r="13" spans="1:10" ht="12.75">
      <c r="A13" s="486"/>
      <c r="B13" s="485" t="s">
        <v>976</v>
      </c>
      <c r="C13" s="484"/>
      <c r="D13" s="483"/>
      <c r="E13" s="483"/>
      <c r="F13" s="482"/>
      <c r="G13" s="484"/>
      <c r="H13" s="483"/>
      <c r="I13" s="483"/>
      <c r="J13" s="482"/>
    </row>
    <row r="14" spans="1:10" ht="12.75">
      <c r="A14" s="481" t="s">
        <v>1140</v>
      </c>
      <c r="B14" s="485" t="s">
        <v>1031</v>
      </c>
      <c r="C14" s="622">
        <f>C92</f>
        <v>0</v>
      </c>
      <c r="D14" s="623">
        <f>D92</f>
        <v>0</v>
      </c>
      <c r="E14" s="623"/>
      <c r="F14" s="482"/>
      <c r="G14" s="622">
        <f>G92</f>
        <v>0</v>
      </c>
      <c r="H14" s="623">
        <f>H92</f>
        <v>0</v>
      </c>
      <c r="I14" s="623"/>
      <c r="J14" s="482"/>
    </row>
    <row r="15" spans="1:10" ht="12.75">
      <c r="A15" s="481" t="s">
        <v>1139</v>
      </c>
      <c r="B15" s="485" t="s">
        <v>970</v>
      </c>
      <c r="C15" s="622">
        <f>C93+C152+C203</f>
        <v>0</v>
      </c>
      <c r="D15" s="623">
        <f>D93+D152+D203</f>
        <v>0</v>
      </c>
      <c r="E15" s="623"/>
      <c r="F15" s="482"/>
      <c r="G15" s="622">
        <f>G93+G152+G203</f>
        <v>0</v>
      </c>
      <c r="H15" s="623">
        <f>H93+H152+H203</f>
        <v>0</v>
      </c>
      <c r="I15" s="623"/>
      <c r="J15" s="482"/>
    </row>
    <row r="16" spans="1:10" s="489" customFormat="1" ht="12.75">
      <c r="A16" s="497" t="s">
        <v>1138</v>
      </c>
      <c r="B16" s="561" t="s">
        <v>974</v>
      </c>
      <c r="C16" s="622">
        <f>C97+C122+C153+C200</f>
        <v>35155</v>
      </c>
      <c r="D16" s="623">
        <f>D97+D122+D153+D200</f>
        <v>11.348</v>
      </c>
      <c r="E16" s="623"/>
      <c r="F16" s="559"/>
      <c r="G16" s="622">
        <f>G97+G122+G153+G200</f>
        <v>34655</v>
      </c>
      <c r="H16" s="623">
        <f>H97+H122+H153+H200</f>
        <v>11.188</v>
      </c>
      <c r="I16" s="623"/>
      <c r="J16" s="559"/>
    </row>
    <row r="17" spans="1:10" ht="12.75">
      <c r="A17" s="481" t="s">
        <v>1137</v>
      </c>
      <c r="B17" s="485" t="s">
        <v>1027</v>
      </c>
      <c r="C17" s="622">
        <f>C96+C126+C154</f>
        <v>9350</v>
      </c>
      <c r="D17" s="623">
        <f>D96+D126+D154</f>
        <v>3.918</v>
      </c>
      <c r="E17" s="623"/>
      <c r="F17" s="482"/>
      <c r="G17" s="622">
        <f>G96+G126+G154</f>
        <v>8740</v>
      </c>
      <c r="H17" s="623">
        <f>H96+H126+H154</f>
        <v>3.552</v>
      </c>
      <c r="I17" s="623"/>
      <c r="J17" s="482"/>
    </row>
    <row r="18" spans="1:10" ht="12.75">
      <c r="A18" s="481" t="s">
        <v>1136</v>
      </c>
      <c r="B18" s="485" t="s">
        <v>1025</v>
      </c>
      <c r="C18" s="622">
        <f>C94+C124+C155</f>
        <v>0</v>
      </c>
      <c r="D18" s="623">
        <f>D94+D124+D155</f>
        <v>0</v>
      </c>
      <c r="E18" s="623"/>
      <c r="F18" s="482"/>
      <c r="G18" s="622">
        <f>G94+G124+G155</f>
        <v>0</v>
      </c>
      <c r="H18" s="623">
        <f>H94+H124+H155</f>
        <v>0</v>
      </c>
      <c r="I18" s="623"/>
      <c r="J18" s="482"/>
    </row>
    <row r="19" spans="1:10" ht="12.75">
      <c r="A19" s="481" t="s">
        <v>1135</v>
      </c>
      <c r="B19" s="485" t="s">
        <v>1227</v>
      </c>
      <c r="C19" s="622">
        <f>C95</f>
        <v>0</v>
      </c>
      <c r="D19" s="623">
        <f>D95</f>
        <v>0</v>
      </c>
      <c r="E19" s="623"/>
      <c r="F19" s="482"/>
      <c r="G19" s="622">
        <f>G95</f>
        <v>0</v>
      </c>
      <c r="H19" s="623">
        <f>H95</f>
        <v>0</v>
      </c>
      <c r="I19" s="623"/>
      <c r="J19" s="482"/>
    </row>
    <row r="20" spans="1:10" ht="12.75">
      <c r="A20" s="481" t="s">
        <v>1134</v>
      </c>
      <c r="B20" s="485" t="s">
        <v>1228</v>
      </c>
      <c r="C20" s="622"/>
      <c r="D20" s="623"/>
      <c r="E20" s="623"/>
      <c r="F20" s="482"/>
      <c r="G20" s="622"/>
      <c r="H20" s="623"/>
      <c r="I20" s="623"/>
      <c r="J20" s="482"/>
    </row>
    <row r="21" spans="1:10" ht="12.75">
      <c r="A21" s="481" t="s">
        <v>1133</v>
      </c>
      <c r="B21" s="485"/>
      <c r="C21" s="622">
        <f>C156</f>
        <v>0</v>
      </c>
      <c r="D21" s="623">
        <f>D156</f>
        <v>0</v>
      </c>
      <c r="E21" s="623"/>
      <c r="F21" s="482"/>
      <c r="G21" s="622">
        <f>G156</f>
        <v>0</v>
      </c>
      <c r="H21" s="623">
        <f>H156</f>
        <v>0</v>
      </c>
      <c r="I21" s="623"/>
      <c r="J21" s="482"/>
    </row>
    <row r="22" spans="1:10" ht="12.75">
      <c r="A22" s="481" t="s">
        <v>1132</v>
      </c>
      <c r="B22" s="485" t="s">
        <v>1296</v>
      </c>
      <c r="C22" s="622">
        <f>C201</f>
        <v>0</v>
      </c>
      <c r="D22" s="623">
        <f>D201</f>
        <v>0</v>
      </c>
      <c r="E22" s="623"/>
      <c r="F22" s="482"/>
      <c r="G22" s="622">
        <f>G201</f>
        <v>0</v>
      </c>
      <c r="H22" s="623">
        <f>H201</f>
        <v>0</v>
      </c>
      <c r="I22" s="623"/>
      <c r="J22" s="482"/>
    </row>
    <row r="23" spans="1:10" ht="12.75">
      <c r="A23" s="481" t="s">
        <v>1131</v>
      </c>
      <c r="B23" s="485" t="s">
        <v>1021</v>
      </c>
      <c r="C23" s="622">
        <f>C158</f>
        <v>0</v>
      </c>
      <c r="D23" s="623">
        <f>D158</f>
        <v>0</v>
      </c>
      <c r="E23" s="623"/>
      <c r="F23" s="482"/>
      <c r="G23" s="622">
        <f>G158</f>
        <v>0</v>
      </c>
      <c r="H23" s="623">
        <f>H158</f>
        <v>0</v>
      </c>
      <c r="I23" s="623"/>
      <c r="J23" s="482"/>
    </row>
    <row r="24" spans="1:10" ht="12.75">
      <c r="A24" s="481" t="s">
        <v>1130</v>
      </c>
      <c r="B24" s="485" t="s">
        <v>1297</v>
      </c>
      <c r="C24" s="622">
        <f>C159+C204</f>
        <v>0</v>
      </c>
      <c r="D24" s="623">
        <f>D159+D204</f>
        <v>0</v>
      </c>
      <c r="E24" s="623"/>
      <c r="F24" s="482"/>
      <c r="G24" s="622">
        <f>G159+G204</f>
        <v>0</v>
      </c>
      <c r="H24" s="623">
        <f>H159+H204</f>
        <v>0</v>
      </c>
      <c r="I24" s="623"/>
      <c r="J24" s="482"/>
    </row>
    <row r="25" spans="1:10" ht="12.75">
      <c r="A25" s="481" t="s">
        <v>1129</v>
      </c>
      <c r="B25" s="485" t="s">
        <v>967</v>
      </c>
      <c r="C25" s="622"/>
      <c r="D25" s="623"/>
      <c r="E25" s="623"/>
      <c r="F25" s="482"/>
      <c r="G25" s="622"/>
      <c r="H25" s="623"/>
      <c r="I25" s="623"/>
      <c r="J25" s="482"/>
    </row>
    <row r="26" spans="1:10" ht="12.75">
      <c r="A26" s="481" t="s">
        <v>1128</v>
      </c>
      <c r="B26" s="485" t="s">
        <v>1018</v>
      </c>
      <c r="C26" s="622"/>
      <c r="D26" s="623"/>
      <c r="E26" s="623"/>
      <c r="F26" s="482"/>
      <c r="G26" s="622"/>
      <c r="H26" s="623"/>
      <c r="I26" s="623"/>
      <c r="J26" s="482"/>
    </row>
    <row r="27" spans="1:10" ht="12.75">
      <c r="A27" s="481" t="s">
        <v>1127</v>
      </c>
      <c r="B27" s="485" t="s">
        <v>1016</v>
      </c>
      <c r="C27" s="622">
        <f>C125</f>
        <v>0</v>
      </c>
      <c r="D27" s="623">
        <f>D125</f>
        <v>0</v>
      </c>
      <c r="E27" s="623"/>
      <c r="F27" s="482"/>
      <c r="G27" s="622">
        <f>G125</f>
        <v>0</v>
      </c>
      <c r="H27" s="623">
        <f>H125</f>
        <v>0</v>
      </c>
      <c r="I27" s="623"/>
      <c r="J27" s="482"/>
    </row>
    <row r="28" spans="1:10" ht="12.75">
      <c r="A28" s="481" t="s">
        <v>1126</v>
      </c>
      <c r="B28" s="485" t="s">
        <v>953</v>
      </c>
      <c r="C28" s="622"/>
      <c r="D28" s="623"/>
      <c r="E28" s="623"/>
      <c r="F28" s="482"/>
      <c r="G28" s="622"/>
      <c r="H28" s="623"/>
      <c r="I28" s="623"/>
      <c r="J28" s="482"/>
    </row>
    <row r="29" spans="1:10" ht="12.75">
      <c r="A29" s="481" t="s">
        <v>1125</v>
      </c>
      <c r="B29" s="485" t="s">
        <v>1298</v>
      </c>
      <c r="C29" s="622">
        <f>C164</f>
        <v>0</v>
      </c>
      <c r="D29" s="623">
        <f>D164</f>
        <v>0</v>
      </c>
      <c r="E29" s="623"/>
      <c r="F29" s="482"/>
      <c r="G29" s="622">
        <f>G164</f>
        <v>0</v>
      </c>
      <c r="H29" s="623">
        <f>H164</f>
        <v>0</v>
      </c>
      <c r="I29" s="623"/>
      <c r="J29" s="482"/>
    </row>
    <row r="30" spans="1:10" ht="12.75">
      <c r="A30" s="481" t="s">
        <v>1124</v>
      </c>
      <c r="B30" s="485" t="s">
        <v>1254</v>
      </c>
      <c r="C30" s="622">
        <f>C123+C163+C206</f>
        <v>0</v>
      </c>
      <c r="D30" s="623">
        <f>D123+D163+D206</f>
        <v>0</v>
      </c>
      <c r="E30" s="623"/>
      <c r="F30" s="482"/>
      <c r="G30" s="622">
        <f>G123+G163+G206</f>
        <v>0</v>
      </c>
      <c r="H30" s="623">
        <f>H123+H163+H206</f>
        <v>0</v>
      </c>
      <c r="I30" s="623"/>
      <c r="J30" s="482"/>
    </row>
    <row r="31" spans="1:10" ht="12.75">
      <c r="A31" s="481" t="s">
        <v>1123</v>
      </c>
      <c r="B31" s="485"/>
      <c r="C31" s="484">
        <f>C162</f>
        <v>0</v>
      </c>
      <c r="D31" s="483">
        <f>D162</f>
        <v>0</v>
      </c>
      <c r="E31" s="483"/>
      <c r="F31" s="482"/>
      <c r="G31" s="484">
        <f>G162</f>
        <v>0</v>
      </c>
      <c r="H31" s="483">
        <f>H162</f>
        <v>0</v>
      </c>
      <c r="I31" s="483"/>
      <c r="J31" s="482"/>
    </row>
    <row r="32" spans="1:10" ht="12.75">
      <c r="A32" s="481" t="s">
        <v>1229</v>
      </c>
      <c r="B32" s="485"/>
      <c r="C32" s="484">
        <f>C166</f>
        <v>0</v>
      </c>
      <c r="D32" s="483">
        <f>D166</f>
        <v>0</v>
      </c>
      <c r="E32" s="483"/>
      <c r="F32" s="482"/>
      <c r="G32" s="484">
        <f>G166</f>
        <v>0</v>
      </c>
      <c r="H32" s="483">
        <f>H166</f>
        <v>0</v>
      </c>
      <c r="I32" s="483"/>
      <c r="J32" s="482"/>
    </row>
    <row r="33" spans="1:10" ht="12.75">
      <c r="A33" s="486">
        <v>2</v>
      </c>
      <c r="B33" s="562" t="s">
        <v>1122</v>
      </c>
      <c r="C33" s="622">
        <f>C99+C129+C168+C207</f>
        <v>5011.841</v>
      </c>
      <c r="D33" s="623">
        <f>D99+D129+D168+D207</f>
        <v>1.7200000000000002</v>
      </c>
      <c r="E33" s="625"/>
      <c r="F33" s="482"/>
      <c r="G33" s="622">
        <f>G99+G129+G168+G207</f>
        <v>5011.764999999999</v>
      </c>
      <c r="H33" s="623">
        <f>H99+H129+H168+H207</f>
        <v>1.75</v>
      </c>
      <c r="I33" s="625"/>
      <c r="J33" s="482"/>
    </row>
    <row r="34" spans="1:10" ht="12.75">
      <c r="A34" s="486">
        <v>3</v>
      </c>
      <c r="B34" s="563" t="s">
        <v>1121</v>
      </c>
      <c r="C34" s="622">
        <f>C36+C41</f>
        <v>39493.159</v>
      </c>
      <c r="D34" s="623">
        <f>D36+D41</f>
        <v>13.546</v>
      </c>
      <c r="E34" s="623"/>
      <c r="F34" s="482">
        <f>F36+F41</f>
        <v>0</v>
      </c>
      <c r="G34" s="622">
        <f>G36+G41</f>
        <v>38383.235</v>
      </c>
      <c r="H34" s="623">
        <f>H36+H41</f>
        <v>12.989999999999998</v>
      </c>
      <c r="I34" s="623"/>
      <c r="J34" s="482">
        <f>J36+J41</f>
        <v>0</v>
      </c>
    </row>
    <row r="35" spans="1:10" ht="12.75">
      <c r="A35" s="486"/>
      <c r="B35" s="485" t="s">
        <v>958</v>
      </c>
      <c r="C35" s="484"/>
      <c r="D35" s="483"/>
      <c r="E35" s="483"/>
      <c r="F35" s="482"/>
      <c r="G35" s="484"/>
      <c r="H35" s="483"/>
      <c r="I35" s="483"/>
      <c r="J35" s="482"/>
    </row>
    <row r="36" spans="1:10" ht="12.75">
      <c r="A36" s="481" t="s">
        <v>1120</v>
      </c>
      <c r="B36" s="564" t="s">
        <v>961</v>
      </c>
      <c r="C36" s="622">
        <f>C102+C132+C171+C210</f>
        <v>39493.159</v>
      </c>
      <c r="D36" s="623">
        <f>D102+D132+D171+D210</f>
        <v>13.546</v>
      </c>
      <c r="E36" s="623"/>
      <c r="F36" s="482"/>
      <c r="G36" s="622">
        <f>G102+G132+G171+G210</f>
        <v>38383.235</v>
      </c>
      <c r="H36" s="623">
        <f>H102+H132+H171+H210</f>
        <v>12.989999999999998</v>
      </c>
      <c r="I36" s="623"/>
      <c r="J36" s="482"/>
    </row>
    <row r="37" spans="1:15" ht="12.75">
      <c r="A37" s="481"/>
      <c r="B37" s="584" t="s">
        <v>1294</v>
      </c>
      <c r="C37" s="622">
        <f>C38+C39+C40</f>
        <v>19630</v>
      </c>
      <c r="D37" s="623">
        <f>D38+D39+D40</f>
        <v>8.179</v>
      </c>
      <c r="E37" s="623">
        <f>E38+E39+E40</f>
        <v>0</v>
      </c>
      <c r="F37" s="482"/>
      <c r="G37" s="622">
        <f>G38+G39+G40</f>
        <v>19000</v>
      </c>
      <c r="H37" s="623">
        <f>H38+H39+H40</f>
        <v>7.917</v>
      </c>
      <c r="I37" s="623">
        <f>I38+I39+I40</f>
        <v>0</v>
      </c>
      <c r="J37" s="482"/>
      <c r="K37" s="574" t="s">
        <v>1255</v>
      </c>
      <c r="L37" s="574"/>
      <c r="M37" s="574"/>
      <c r="N37" s="574"/>
      <c r="O37" s="574"/>
    </row>
    <row r="38" spans="1:10" ht="12.75">
      <c r="A38" s="481"/>
      <c r="B38" s="584" t="s">
        <v>1292</v>
      </c>
      <c r="C38" s="484">
        <v>3730</v>
      </c>
      <c r="D38" s="483">
        <v>1.554</v>
      </c>
      <c r="E38" s="483"/>
      <c r="F38" s="482"/>
      <c r="G38" s="484">
        <v>3500</v>
      </c>
      <c r="H38" s="483">
        <v>1.458</v>
      </c>
      <c r="I38" s="483"/>
      <c r="J38" s="482"/>
    </row>
    <row r="39" spans="1:10" ht="12.75">
      <c r="A39" s="481"/>
      <c r="B39" s="584" t="s">
        <v>1293</v>
      </c>
      <c r="C39" s="484">
        <v>15200</v>
      </c>
      <c r="D39" s="483">
        <v>6.333</v>
      </c>
      <c r="E39" s="483"/>
      <c r="F39" s="482"/>
      <c r="G39" s="484">
        <v>14800</v>
      </c>
      <c r="H39" s="483">
        <v>6.167</v>
      </c>
      <c r="I39" s="483"/>
      <c r="J39" s="482"/>
    </row>
    <row r="40" spans="1:10" ht="12.75">
      <c r="A40" s="481"/>
      <c r="B40" s="584" t="s">
        <v>1295</v>
      </c>
      <c r="C40" s="484">
        <v>700</v>
      </c>
      <c r="D40" s="483">
        <v>0.292</v>
      </c>
      <c r="E40" s="483"/>
      <c r="F40" s="482"/>
      <c r="G40" s="484">
        <v>700</v>
      </c>
      <c r="H40" s="483">
        <v>0.292</v>
      </c>
      <c r="I40" s="483"/>
      <c r="J40" s="482"/>
    </row>
    <row r="41" spans="1:10" ht="12.75">
      <c r="A41" s="481" t="s">
        <v>1119</v>
      </c>
      <c r="B41" s="564" t="s">
        <v>959</v>
      </c>
      <c r="C41" s="622">
        <f>SUM(C43:C61)</f>
        <v>0</v>
      </c>
      <c r="D41" s="623">
        <f>SUM(D43:D61)</f>
        <v>0</v>
      </c>
      <c r="E41" s="623"/>
      <c r="F41" s="482"/>
      <c r="G41" s="622">
        <f>SUM(G43:G61)</f>
        <v>0</v>
      </c>
      <c r="H41" s="623">
        <f>SUM(H43:H61)</f>
        <v>0</v>
      </c>
      <c r="I41" s="623"/>
      <c r="J41" s="482"/>
    </row>
    <row r="42" spans="1:10" ht="12.75">
      <c r="A42" s="486"/>
      <c r="B42" s="485" t="s">
        <v>958</v>
      </c>
      <c r="C42" s="484"/>
      <c r="D42" s="483"/>
      <c r="E42" s="483"/>
      <c r="F42" s="482"/>
      <c r="G42" s="484"/>
      <c r="H42" s="483"/>
      <c r="I42" s="483"/>
      <c r="J42" s="482"/>
    </row>
    <row r="43" spans="1:10" ht="12.75">
      <c r="A43" s="481" t="s">
        <v>1118</v>
      </c>
      <c r="B43" s="485"/>
      <c r="C43" s="484">
        <f>C213</f>
        <v>0</v>
      </c>
      <c r="D43" s="483">
        <f>D213</f>
        <v>0</v>
      </c>
      <c r="E43" s="483"/>
      <c r="F43" s="482"/>
      <c r="G43" s="484">
        <f>G213</f>
        <v>0</v>
      </c>
      <c r="H43" s="483">
        <f>H213</f>
        <v>0</v>
      </c>
      <c r="I43" s="483"/>
      <c r="J43" s="482"/>
    </row>
    <row r="44" spans="1:10" ht="12.75">
      <c r="A44" s="547" t="s">
        <v>1100</v>
      </c>
      <c r="B44" s="565" t="s">
        <v>974</v>
      </c>
      <c r="C44" s="622">
        <f>C105</f>
        <v>0</v>
      </c>
      <c r="D44" s="623">
        <f>D105</f>
        <v>0</v>
      </c>
      <c r="E44" s="623"/>
      <c r="F44" s="559"/>
      <c r="G44" s="622">
        <f>G105</f>
        <v>0</v>
      </c>
      <c r="H44" s="623">
        <f>H105</f>
        <v>0</v>
      </c>
      <c r="I44" s="623"/>
      <c r="J44" s="559"/>
    </row>
    <row r="45" spans="1:10" ht="12.75">
      <c r="A45" s="481" t="s">
        <v>1117</v>
      </c>
      <c r="B45" s="485" t="s">
        <v>1298</v>
      </c>
      <c r="C45" s="622">
        <f>C106+C183</f>
        <v>0</v>
      </c>
      <c r="D45" s="623">
        <f>D106+D183</f>
        <v>0</v>
      </c>
      <c r="E45" s="623"/>
      <c r="F45" s="482"/>
      <c r="G45" s="622">
        <f>G106+G183</f>
        <v>0</v>
      </c>
      <c r="H45" s="623">
        <f>H106+H183</f>
        <v>0</v>
      </c>
      <c r="I45" s="623"/>
      <c r="J45" s="482"/>
    </row>
    <row r="46" spans="1:10" ht="12.75">
      <c r="A46" s="481" t="s">
        <v>1116</v>
      </c>
      <c r="B46" s="485" t="s">
        <v>1297</v>
      </c>
      <c r="C46" s="622">
        <f>C174</f>
        <v>0</v>
      </c>
      <c r="D46" s="623">
        <f>D174</f>
        <v>0</v>
      </c>
      <c r="E46" s="623"/>
      <c r="F46" s="482"/>
      <c r="G46" s="622">
        <f>G174</f>
        <v>0</v>
      </c>
      <c r="H46" s="623">
        <f>H174</f>
        <v>0</v>
      </c>
      <c r="I46" s="623"/>
      <c r="J46" s="482"/>
    </row>
    <row r="47" spans="1:10" ht="12.75">
      <c r="A47" s="481" t="s">
        <v>1115</v>
      </c>
      <c r="B47" s="485" t="s">
        <v>970</v>
      </c>
      <c r="C47" s="622"/>
      <c r="D47" s="623"/>
      <c r="E47" s="623"/>
      <c r="F47" s="482"/>
      <c r="G47" s="622"/>
      <c r="H47" s="623"/>
      <c r="I47" s="623"/>
      <c r="J47" s="482"/>
    </row>
    <row r="48" spans="1:10" ht="12.75">
      <c r="A48" s="481" t="s">
        <v>1114</v>
      </c>
      <c r="B48" s="485"/>
      <c r="C48" s="622">
        <f>C180</f>
        <v>0</v>
      </c>
      <c r="D48" s="623">
        <f>D180</f>
        <v>0</v>
      </c>
      <c r="E48" s="623"/>
      <c r="F48" s="482"/>
      <c r="G48" s="622">
        <f>G180</f>
        <v>0</v>
      </c>
      <c r="H48" s="623">
        <f>H180</f>
        <v>0</v>
      </c>
      <c r="I48" s="623"/>
      <c r="J48" s="482"/>
    </row>
    <row r="49" spans="1:10" ht="12.75">
      <c r="A49" s="481" t="s">
        <v>1113</v>
      </c>
      <c r="B49" s="485" t="s">
        <v>1027</v>
      </c>
      <c r="C49" s="622"/>
      <c r="D49" s="623"/>
      <c r="E49" s="623"/>
      <c r="F49" s="482"/>
      <c r="G49" s="622"/>
      <c r="H49" s="623"/>
      <c r="I49" s="623"/>
      <c r="J49" s="482"/>
    </row>
    <row r="50" spans="1:10" ht="12.75">
      <c r="A50" s="481" t="s">
        <v>1112</v>
      </c>
      <c r="B50" s="485" t="s">
        <v>1031</v>
      </c>
      <c r="C50" s="622"/>
      <c r="D50" s="623"/>
      <c r="E50" s="623"/>
      <c r="F50" s="482"/>
      <c r="G50" s="622"/>
      <c r="H50" s="623"/>
      <c r="I50" s="623"/>
      <c r="J50" s="482"/>
    </row>
    <row r="51" spans="1:10" ht="12.75">
      <c r="A51" s="481" t="s">
        <v>1111</v>
      </c>
      <c r="B51" s="485" t="s">
        <v>953</v>
      </c>
      <c r="C51" s="622">
        <f>C187+C214</f>
        <v>0</v>
      </c>
      <c r="D51" s="623">
        <f>D187+D214</f>
        <v>0</v>
      </c>
      <c r="E51" s="623"/>
      <c r="F51" s="482"/>
      <c r="G51" s="622">
        <f>G187+G214</f>
        <v>0</v>
      </c>
      <c r="H51" s="623">
        <f>H187+H214</f>
        <v>0</v>
      </c>
      <c r="I51" s="623"/>
      <c r="J51" s="482"/>
    </row>
    <row r="52" spans="1:10" ht="12.75">
      <c r="A52" s="481" t="s">
        <v>1110</v>
      </c>
      <c r="B52" s="485" t="s">
        <v>1315</v>
      </c>
      <c r="C52" s="622">
        <f>C185</f>
        <v>0</v>
      </c>
      <c r="D52" s="623">
        <f>D185</f>
        <v>0</v>
      </c>
      <c r="E52" s="623"/>
      <c r="F52" s="482"/>
      <c r="G52" s="622">
        <f>G185</f>
        <v>0</v>
      </c>
      <c r="H52" s="623">
        <f>H185</f>
        <v>0</v>
      </c>
      <c r="I52" s="623"/>
      <c r="J52" s="482"/>
    </row>
    <row r="53" spans="1:10" ht="12.75">
      <c r="A53" s="481" t="s">
        <v>1109</v>
      </c>
      <c r="B53" s="485" t="s">
        <v>1296</v>
      </c>
      <c r="C53" s="622">
        <f>C178</f>
        <v>0</v>
      </c>
      <c r="D53" s="623">
        <f>D178</f>
        <v>0</v>
      </c>
      <c r="E53" s="623"/>
      <c r="F53" s="482"/>
      <c r="G53" s="622">
        <f>G178</f>
        <v>0</v>
      </c>
      <c r="H53" s="623">
        <f>H178</f>
        <v>0</v>
      </c>
      <c r="I53" s="623"/>
      <c r="J53" s="482"/>
    </row>
    <row r="54" spans="1:10" ht="12.75">
      <c r="A54" s="481" t="s">
        <v>1108</v>
      </c>
      <c r="B54" s="485" t="s">
        <v>1247</v>
      </c>
      <c r="C54" s="622">
        <f>C181</f>
        <v>0</v>
      </c>
      <c r="D54" s="623">
        <f>D181</f>
        <v>0</v>
      </c>
      <c r="E54" s="623"/>
      <c r="F54" s="482"/>
      <c r="G54" s="622">
        <f>G181</f>
        <v>0</v>
      </c>
      <c r="H54" s="623">
        <f>H181</f>
        <v>0</v>
      </c>
      <c r="I54" s="623"/>
      <c r="J54" s="482"/>
    </row>
    <row r="55" spans="1:10" ht="12.75">
      <c r="A55" s="481" t="s">
        <v>1107</v>
      </c>
      <c r="B55" s="485" t="s">
        <v>1025</v>
      </c>
      <c r="C55" s="622">
        <f>C179</f>
        <v>0</v>
      </c>
      <c r="D55" s="623">
        <f>D179</f>
        <v>0</v>
      </c>
      <c r="E55" s="623"/>
      <c r="F55" s="482"/>
      <c r="G55" s="622">
        <f>G179</f>
        <v>0</v>
      </c>
      <c r="H55" s="623">
        <f>H179</f>
        <v>0</v>
      </c>
      <c r="I55" s="623"/>
      <c r="J55" s="482"/>
    </row>
    <row r="56" spans="1:10" ht="12.75">
      <c r="A56" s="481" t="s">
        <v>1106</v>
      </c>
      <c r="B56" s="485" t="s">
        <v>1007</v>
      </c>
      <c r="C56" s="622">
        <f>C175</f>
        <v>0</v>
      </c>
      <c r="D56" s="623">
        <f>D175</f>
        <v>0</v>
      </c>
      <c r="E56" s="623"/>
      <c r="F56" s="482"/>
      <c r="G56" s="622">
        <f>G175</f>
        <v>0</v>
      </c>
      <c r="H56" s="623">
        <f>H175</f>
        <v>0</v>
      </c>
      <c r="I56" s="623"/>
      <c r="J56" s="482"/>
    </row>
    <row r="57" spans="1:10" ht="12.75">
      <c r="A57" s="481" t="s">
        <v>1105</v>
      </c>
      <c r="B57" s="485" t="s">
        <v>1254</v>
      </c>
      <c r="C57" s="622">
        <f>C215+C186+C107</f>
        <v>0</v>
      </c>
      <c r="D57" s="623">
        <f>D215+D186+D107</f>
        <v>0</v>
      </c>
      <c r="E57" s="623"/>
      <c r="F57" s="482"/>
      <c r="G57" s="622">
        <f>G215+G186+G107</f>
        <v>0</v>
      </c>
      <c r="H57" s="623">
        <f>H215+H186+H107</f>
        <v>0</v>
      </c>
      <c r="I57" s="623"/>
      <c r="J57" s="482"/>
    </row>
    <row r="58" spans="1:10" ht="12.75">
      <c r="A58" s="481" t="s">
        <v>1104</v>
      </c>
      <c r="B58" s="485" t="s">
        <v>1048</v>
      </c>
      <c r="C58" s="622"/>
      <c r="D58" s="623"/>
      <c r="E58" s="623"/>
      <c r="F58" s="482"/>
      <c r="G58" s="622"/>
      <c r="H58" s="623"/>
      <c r="I58" s="623"/>
      <c r="J58" s="482"/>
    </row>
    <row r="59" spans="1:10" ht="12.75">
      <c r="A59" s="481" t="s">
        <v>1103</v>
      </c>
      <c r="B59" s="485" t="s">
        <v>996</v>
      </c>
      <c r="C59" s="622">
        <f>C108+C136+C184</f>
        <v>0</v>
      </c>
      <c r="D59" s="623">
        <f>D108+D136+D184</f>
        <v>0</v>
      </c>
      <c r="E59" s="623"/>
      <c r="F59" s="482"/>
      <c r="G59" s="622">
        <f>G108+G136+G184</f>
        <v>0</v>
      </c>
      <c r="H59" s="623">
        <f>H108+H136+H184</f>
        <v>0</v>
      </c>
      <c r="I59" s="623"/>
      <c r="J59" s="482"/>
    </row>
    <row r="60" spans="1:10" ht="12.75">
      <c r="A60" s="481" t="s">
        <v>1102</v>
      </c>
      <c r="B60" s="485"/>
      <c r="C60" s="484">
        <f>C138</f>
        <v>0</v>
      </c>
      <c r="D60" s="483">
        <f>D138</f>
        <v>0</v>
      </c>
      <c r="E60" s="483"/>
      <c r="F60" s="482"/>
      <c r="G60" s="484">
        <f>G138</f>
        <v>0</v>
      </c>
      <c r="H60" s="483">
        <f>H138</f>
        <v>0</v>
      </c>
      <c r="I60" s="483"/>
      <c r="J60" s="482"/>
    </row>
    <row r="61" spans="1:10" ht="12.75">
      <c r="A61" s="481" t="s">
        <v>1230</v>
      </c>
      <c r="B61" s="485"/>
      <c r="C61" s="484">
        <f>C108+C137+C186</f>
        <v>0</v>
      </c>
      <c r="D61" s="483">
        <f>D108+D137+D186</f>
        <v>0</v>
      </c>
      <c r="E61" s="483"/>
      <c r="F61" s="482"/>
      <c r="G61" s="484">
        <f>G108+G137+G186</f>
        <v>0</v>
      </c>
      <c r="H61" s="483">
        <f>H108+H137+H186</f>
        <v>0</v>
      </c>
      <c r="I61" s="483"/>
      <c r="J61" s="482"/>
    </row>
    <row r="62" spans="1:10" ht="19.5" customHeight="1">
      <c r="A62" s="481" t="s">
        <v>1099</v>
      </c>
      <c r="B62" s="564" t="s">
        <v>1101</v>
      </c>
      <c r="C62" s="484"/>
      <c r="D62" s="483"/>
      <c r="E62" s="483"/>
      <c r="F62" s="482"/>
      <c r="G62" s="484"/>
      <c r="H62" s="483"/>
      <c r="I62" s="483"/>
      <c r="J62" s="482"/>
    </row>
    <row r="63" spans="1:10" ht="18.75" customHeight="1">
      <c r="A63" s="481" t="s">
        <v>1100</v>
      </c>
      <c r="B63" s="564" t="s">
        <v>1054</v>
      </c>
      <c r="C63" s="484"/>
      <c r="D63" s="483"/>
      <c r="E63" s="483"/>
      <c r="F63" s="482"/>
      <c r="G63" s="484"/>
      <c r="H63" s="483"/>
      <c r="I63" s="483"/>
      <c r="J63" s="482"/>
    </row>
    <row r="64" spans="1:10" ht="19.5" customHeight="1">
      <c r="A64" s="481" t="s">
        <v>1099</v>
      </c>
      <c r="B64" s="564" t="s">
        <v>1098</v>
      </c>
      <c r="C64" s="484"/>
      <c r="D64" s="483"/>
      <c r="E64" s="483"/>
      <c r="F64" s="482"/>
      <c r="G64" s="484"/>
      <c r="H64" s="483"/>
      <c r="I64" s="483"/>
      <c r="J64" s="482"/>
    </row>
    <row r="65" spans="1:10" ht="12.75">
      <c r="A65" s="486">
        <v>4</v>
      </c>
      <c r="B65" s="564" t="s">
        <v>1097</v>
      </c>
      <c r="C65" s="484"/>
      <c r="D65" s="483"/>
      <c r="E65" s="483"/>
      <c r="F65" s="482"/>
      <c r="G65" s="484"/>
      <c r="H65" s="483"/>
      <c r="I65" s="483"/>
      <c r="J65" s="482"/>
    </row>
    <row r="66" spans="1:10" ht="12.75">
      <c r="A66" s="486"/>
      <c r="B66" s="485" t="s">
        <v>976</v>
      </c>
      <c r="C66" s="484"/>
      <c r="D66" s="483"/>
      <c r="E66" s="483"/>
      <c r="F66" s="482"/>
      <c r="G66" s="484"/>
      <c r="H66" s="483"/>
      <c r="I66" s="483"/>
      <c r="J66" s="482"/>
    </row>
    <row r="67" spans="1:10" ht="12.75">
      <c r="A67" s="481" t="s">
        <v>1096</v>
      </c>
      <c r="B67" s="564" t="s">
        <v>1059</v>
      </c>
      <c r="C67" s="484"/>
      <c r="D67" s="483"/>
      <c r="E67" s="483"/>
      <c r="F67" s="482"/>
      <c r="G67" s="484"/>
      <c r="H67" s="483"/>
      <c r="I67" s="483"/>
      <c r="J67" s="482"/>
    </row>
    <row r="68" spans="1:10" ht="12.75">
      <c r="A68" s="481" t="s">
        <v>1095</v>
      </c>
      <c r="B68" s="564" t="s">
        <v>1094</v>
      </c>
      <c r="C68" s="484"/>
      <c r="D68" s="483"/>
      <c r="E68" s="483"/>
      <c r="F68" s="482"/>
      <c r="G68" s="484"/>
      <c r="H68" s="483"/>
      <c r="I68" s="483"/>
      <c r="J68" s="482"/>
    </row>
    <row r="69" spans="1:10" ht="12.75">
      <c r="A69" s="486"/>
      <c r="B69" s="485" t="s">
        <v>958</v>
      </c>
      <c r="C69" s="484"/>
      <c r="D69" s="483"/>
      <c r="E69" s="483"/>
      <c r="F69" s="482"/>
      <c r="G69" s="484"/>
      <c r="H69" s="483"/>
      <c r="I69" s="483"/>
      <c r="J69" s="482"/>
    </row>
    <row r="70" spans="1:10" ht="12.75">
      <c r="A70" s="481" t="s">
        <v>1093</v>
      </c>
      <c r="B70" s="564" t="s">
        <v>1086</v>
      </c>
      <c r="C70" s="484"/>
      <c r="D70" s="483"/>
      <c r="E70" s="483"/>
      <c r="F70" s="482"/>
      <c r="G70" s="484"/>
      <c r="H70" s="483"/>
      <c r="I70" s="483"/>
      <c r="J70" s="482"/>
    </row>
    <row r="71" spans="1:10" ht="12.75">
      <c r="A71" s="481" t="s">
        <v>1092</v>
      </c>
      <c r="B71" s="564" t="s">
        <v>989</v>
      </c>
      <c r="C71" s="484"/>
      <c r="D71" s="483"/>
      <c r="E71" s="483"/>
      <c r="F71" s="482"/>
      <c r="G71" s="484"/>
      <c r="H71" s="483"/>
      <c r="I71" s="483"/>
      <c r="J71" s="482"/>
    </row>
    <row r="72" spans="1:10" ht="12.75">
      <c r="A72" s="486">
        <v>5</v>
      </c>
      <c r="B72" s="564" t="s">
        <v>1091</v>
      </c>
      <c r="C72" s="484"/>
      <c r="D72" s="483"/>
      <c r="E72" s="483"/>
      <c r="F72" s="482"/>
      <c r="G72" s="484"/>
      <c r="H72" s="483"/>
      <c r="I72" s="483"/>
      <c r="J72" s="482"/>
    </row>
    <row r="73" spans="1:10" ht="12.75">
      <c r="A73" s="486">
        <v>6</v>
      </c>
      <c r="B73" s="564" t="s">
        <v>963</v>
      </c>
      <c r="C73" s="484"/>
      <c r="D73" s="483"/>
      <c r="E73" s="483"/>
      <c r="F73" s="482"/>
      <c r="G73" s="484"/>
      <c r="H73" s="483"/>
      <c r="I73" s="483"/>
      <c r="J73" s="482"/>
    </row>
    <row r="74" spans="1:10" ht="12.75">
      <c r="A74" s="481"/>
      <c r="B74" s="485" t="s">
        <v>958</v>
      </c>
      <c r="C74" s="484"/>
      <c r="D74" s="483"/>
      <c r="E74" s="483"/>
      <c r="F74" s="482"/>
      <c r="G74" s="484"/>
      <c r="H74" s="483"/>
      <c r="I74" s="483"/>
      <c r="J74" s="482"/>
    </row>
    <row r="75" spans="1:10" ht="12.75">
      <c r="A75" s="481" t="s">
        <v>1090</v>
      </c>
      <c r="B75" s="564" t="s">
        <v>1089</v>
      </c>
      <c r="C75" s="484"/>
      <c r="D75" s="483"/>
      <c r="E75" s="483"/>
      <c r="F75" s="482"/>
      <c r="G75" s="484"/>
      <c r="H75" s="483"/>
      <c r="I75" s="483"/>
      <c r="J75" s="482"/>
    </row>
    <row r="76" spans="1:10" ht="12.75">
      <c r="A76" s="481" t="s">
        <v>1088</v>
      </c>
      <c r="B76" s="564" t="s">
        <v>959</v>
      </c>
      <c r="C76" s="484"/>
      <c r="D76" s="483"/>
      <c r="E76" s="483"/>
      <c r="F76" s="482"/>
      <c r="G76" s="484"/>
      <c r="H76" s="483"/>
      <c r="I76" s="483"/>
      <c r="J76" s="482"/>
    </row>
    <row r="77" spans="1:10" ht="12.75">
      <c r="A77" s="481"/>
      <c r="B77" s="485" t="s">
        <v>958</v>
      </c>
      <c r="C77" s="484"/>
      <c r="D77" s="483"/>
      <c r="E77" s="483"/>
      <c r="F77" s="482"/>
      <c r="G77" s="484"/>
      <c r="H77" s="483"/>
      <c r="I77" s="483"/>
      <c r="J77" s="482"/>
    </row>
    <row r="78" spans="1:10" ht="12.75">
      <c r="A78" s="481" t="s">
        <v>1087</v>
      </c>
      <c r="B78" s="564" t="s">
        <v>1086</v>
      </c>
      <c r="C78" s="484"/>
      <c r="D78" s="483"/>
      <c r="E78" s="483"/>
      <c r="F78" s="482"/>
      <c r="G78" s="484"/>
      <c r="H78" s="483"/>
      <c r="I78" s="483"/>
      <c r="J78" s="482"/>
    </row>
    <row r="79" spans="1:10" ht="27" customHeight="1">
      <c r="A79" s="481" t="s">
        <v>1085</v>
      </c>
      <c r="B79" s="564" t="s">
        <v>1084</v>
      </c>
      <c r="C79" s="484"/>
      <c r="D79" s="483"/>
      <c r="E79" s="483"/>
      <c r="F79" s="482"/>
      <c r="G79" s="484"/>
      <c r="H79" s="483"/>
      <c r="I79" s="483"/>
      <c r="J79" s="482"/>
    </row>
    <row r="80" spans="1:10" ht="12.75">
      <c r="A80" s="481" t="s">
        <v>1083</v>
      </c>
      <c r="B80" s="564" t="s">
        <v>989</v>
      </c>
      <c r="C80" s="484"/>
      <c r="D80" s="483"/>
      <c r="E80" s="483"/>
      <c r="F80" s="482"/>
      <c r="G80" s="484"/>
      <c r="H80" s="483"/>
      <c r="I80" s="483"/>
      <c r="J80" s="482"/>
    </row>
    <row r="81" spans="1:10" ht="26.25" customHeight="1">
      <c r="A81" s="481" t="s">
        <v>1082</v>
      </c>
      <c r="B81" s="564" t="s">
        <v>1081</v>
      </c>
      <c r="C81" s="484"/>
      <c r="D81" s="483"/>
      <c r="E81" s="483"/>
      <c r="F81" s="482"/>
      <c r="G81" s="484"/>
      <c r="H81" s="483"/>
      <c r="I81" s="483"/>
      <c r="J81" s="482"/>
    </row>
    <row r="82" spans="1:10" ht="12.75">
      <c r="A82" s="486">
        <v>7</v>
      </c>
      <c r="B82" s="564" t="s">
        <v>1080</v>
      </c>
      <c r="C82" s="484"/>
      <c r="D82" s="483"/>
      <c r="E82" s="483"/>
      <c r="F82" s="482"/>
      <c r="G82" s="484"/>
      <c r="H82" s="483"/>
      <c r="I82" s="483"/>
      <c r="J82" s="482"/>
    </row>
    <row r="83" spans="1:10" ht="12.75">
      <c r="A83" s="486">
        <v>8</v>
      </c>
      <c r="B83" s="566" t="s">
        <v>1079</v>
      </c>
      <c r="C83" s="484"/>
      <c r="D83" s="483"/>
      <c r="E83" s="483"/>
      <c r="F83" s="482"/>
      <c r="G83" s="484"/>
      <c r="H83" s="483"/>
      <c r="I83" s="483"/>
      <c r="J83" s="482"/>
    </row>
    <row r="84" spans="1:10" ht="12.75">
      <c r="A84" s="486">
        <v>9</v>
      </c>
      <c r="B84" s="566" t="s">
        <v>1062</v>
      </c>
      <c r="C84" s="484"/>
      <c r="D84" s="483"/>
      <c r="E84" s="483"/>
      <c r="F84" s="482"/>
      <c r="G84" s="484"/>
      <c r="H84" s="483"/>
      <c r="I84" s="483"/>
      <c r="J84" s="482"/>
    </row>
    <row r="85" spans="1:10" ht="12.75">
      <c r="A85" s="486">
        <v>10</v>
      </c>
      <c r="B85" s="566" t="s">
        <v>1038</v>
      </c>
      <c r="C85" s="484"/>
      <c r="D85" s="483"/>
      <c r="E85" s="483"/>
      <c r="F85" s="482"/>
      <c r="G85" s="484"/>
      <c r="H85" s="483"/>
      <c r="I85" s="483"/>
      <c r="J85" s="482"/>
    </row>
    <row r="86" spans="1:10" ht="12.75">
      <c r="A86" s="486">
        <v>11</v>
      </c>
      <c r="B86" s="566" t="s">
        <v>983</v>
      </c>
      <c r="C86" s="484"/>
      <c r="D86" s="483"/>
      <c r="E86" s="483"/>
      <c r="F86" s="482"/>
      <c r="G86" s="484"/>
      <c r="H86" s="483"/>
      <c r="I86" s="483"/>
      <c r="J86" s="482"/>
    </row>
    <row r="87" spans="1:10" s="489" customFormat="1" ht="12.75">
      <c r="A87" s="500">
        <v>12</v>
      </c>
      <c r="B87" s="567" t="s">
        <v>1078</v>
      </c>
      <c r="C87" s="622">
        <f>C89+C90</f>
        <v>39785</v>
      </c>
      <c r="D87" s="623">
        <f>D89+D90</f>
        <v>13.875</v>
      </c>
      <c r="E87" s="623">
        <f>E89+E90</f>
        <v>0</v>
      </c>
      <c r="F87" s="559"/>
      <c r="G87" s="622">
        <f>G89+G90</f>
        <v>38805</v>
      </c>
      <c r="H87" s="623">
        <f>H89+H90</f>
        <v>13.41</v>
      </c>
      <c r="I87" s="623">
        <f>I89+I90</f>
        <v>0</v>
      </c>
      <c r="J87" s="559"/>
    </row>
    <row r="88" spans="1:10" s="489" customFormat="1" ht="12.75">
      <c r="A88" s="493"/>
      <c r="B88" s="568" t="s">
        <v>976</v>
      </c>
      <c r="C88" s="494"/>
      <c r="D88" s="495"/>
      <c r="E88" s="495"/>
      <c r="F88" s="496"/>
      <c r="G88" s="494"/>
      <c r="H88" s="495"/>
      <c r="I88" s="495"/>
      <c r="J88" s="496"/>
    </row>
    <row r="89" spans="1:10" s="489" customFormat="1" ht="12.75">
      <c r="A89" s="493" t="s">
        <v>1077</v>
      </c>
      <c r="B89" s="568" t="s">
        <v>1059</v>
      </c>
      <c r="C89" s="494"/>
      <c r="D89" s="495"/>
      <c r="E89" s="495"/>
      <c r="F89" s="496"/>
      <c r="G89" s="494"/>
      <c r="H89" s="495"/>
      <c r="I89" s="495"/>
      <c r="J89" s="496"/>
    </row>
    <row r="90" spans="1:10" s="489" customFormat="1" ht="12.75">
      <c r="A90" s="493" t="s">
        <v>1076</v>
      </c>
      <c r="B90" s="568" t="s">
        <v>977</v>
      </c>
      <c r="C90" s="622">
        <f>SUM(C92:C98)</f>
        <v>39785</v>
      </c>
      <c r="D90" s="623">
        <f>SUM(D92:D98)</f>
        <v>13.875</v>
      </c>
      <c r="E90" s="623">
        <f>SUM(E92:E98)</f>
        <v>0</v>
      </c>
      <c r="F90" s="496"/>
      <c r="G90" s="622">
        <f>SUM(G92:G98)</f>
        <v>38805</v>
      </c>
      <c r="H90" s="623">
        <f>SUM(H92:H98)</f>
        <v>13.41</v>
      </c>
      <c r="I90" s="623">
        <f>SUM(I92:I98)</f>
        <v>0</v>
      </c>
      <c r="J90" s="496"/>
    </row>
    <row r="91" spans="1:10" s="489" customFormat="1" ht="12.75">
      <c r="A91" s="493"/>
      <c r="B91" s="568" t="s">
        <v>976</v>
      </c>
      <c r="C91" s="494"/>
      <c r="D91" s="495"/>
      <c r="E91" s="495"/>
      <c r="F91" s="496"/>
      <c r="G91" s="494"/>
      <c r="H91" s="495"/>
      <c r="I91" s="495"/>
      <c r="J91" s="496"/>
    </row>
    <row r="92" spans="1:10" s="489" customFormat="1" ht="12.75">
      <c r="A92" s="493" t="s">
        <v>1075</v>
      </c>
      <c r="B92" s="568" t="s">
        <v>1031</v>
      </c>
      <c r="C92" s="494"/>
      <c r="D92" s="495"/>
      <c r="E92" s="495"/>
      <c r="F92" s="496"/>
      <c r="G92" s="494"/>
      <c r="H92" s="495"/>
      <c r="I92" s="495"/>
      <c r="J92" s="496"/>
    </row>
    <row r="93" spans="1:10" s="489" customFormat="1" ht="12.75">
      <c r="A93" s="493" t="s">
        <v>1074</v>
      </c>
      <c r="B93" s="568" t="s">
        <v>970</v>
      </c>
      <c r="C93" s="494"/>
      <c r="D93" s="495"/>
      <c r="E93" s="495"/>
      <c r="F93" s="496"/>
      <c r="G93" s="494"/>
      <c r="H93" s="495"/>
      <c r="I93" s="495"/>
      <c r="J93" s="496"/>
    </row>
    <row r="94" spans="1:10" s="489" customFormat="1" ht="12.75">
      <c r="A94" s="493" t="s">
        <v>1073</v>
      </c>
      <c r="B94" s="568" t="s">
        <v>1025</v>
      </c>
      <c r="C94" s="494"/>
      <c r="D94" s="495"/>
      <c r="E94" s="495"/>
      <c r="F94" s="496"/>
      <c r="G94" s="494"/>
      <c r="H94" s="495"/>
      <c r="I94" s="495"/>
      <c r="J94" s="496"/>
    </row>
    <row r="95" spans="1:10" s="489" customFormat="1" ht="12.75">
      <c r="A95" s="493" t="s">
        <v>1231</v>
      </c>
      <c r="B95" s="568" t="s">
        <v>1227</v>
      </c>
      <c r="C95" s="494"/>
      <c r="D95" s="495"/>
      <c r="E95" s="495"/>
      <c r="F95" s="496"/>
      <c r="G95" s="494"/>
      <c r="H95" s="495"/>
      <c r="I95" s="495"/>
      <c r="J95" s="496"/>
    </row>
    <row r="96" spans="1:10" s="489" customFormat="1" ht="12.75">
      <c r="A96" s="493" t="s">
        <v>1232</v>
      </c>
      <c r="B96" s="568" t="s">
        <v>1027</v>
      </c>
      <c r="C96" s="494">
        <v>4630</v>
      </c>
      <c r="D96" s="495">
        <v>2.527</v>
      </c>
      <c r="E96" s="495"/>
      <c r="F96" s="496"/>
      <c r="G96" s="494">
        <v>4150</v>
      </c>
      <c r="H96" s="495">
        <v>2.222</v>
      </c>
      <c r="I96" s="495"/>
      <c r="J96" s="496"/>
    </row>
    <row r="97" spans="1:10" s="489" customFormat="1" ht="12.75">
      <c r="A97" s="497" t="s">
        <v>1233</v>
      </c>
      <c r="B97" s="561" t="s">
        <v>974</v>
      </c>
      <c r="C97" s="515">
        <v>35155</v>
      </c>
      <c r="D97" s="516">
        <v>11.348</v>
      </c>
      <c r="E97" s="516"/>
      <c r="F97" s="517"/>
      <c r="G97" s="515">
        <v>34655</v>
      </c>
      <c r="H97" s="516">
        <v>11.188</v>
      </c>
      <c r="I97" s="516"/>
      <c r="J97" s="517"/>
    </row>
    <row r="98" spans="1:10" s="489" customFormat="1" ht="12.75">
      <c r="A98" s="493" t="s">
        <v>1252</v>
      </c>
      <c r="B98" s="568"/>
      <c r="C98" s="557"/>
      <c r="D98" s="558"/>
      <c r="E98" s="558"/>
      <c r="F98" s="559"/>
      <c r="G98" s="557"/>
      <c r="H98" s="558"/>
      <c r="I98" s="558"/>
      <c r="J98" s="559"/>
    </row>
    <row r="99" spans="1:10" ht="12.75">
      <c r="A99" s="481" t="s">
        <v>578</v>
      </c>
      <c r="B99" s="569" t="s">
        <v>965</v>
      </c>
      <c r="C99" s="484"/>
      <c r="D99" s="483"/>
      <c r="E99" s="483"/>
      <c r="F99" s="482"/>
      <c r="G99" s="484"/>
      <c r="H99" s="483"/>
      <c r="I99" s="483"/>
      <c r="J99" s="482"/>
    </row>
    <row r="100" spans="1:10" ht="12.75">
      <c r="A100" s="481" t="s">
        <v>579</v>
      </c>
      <c r="B100" s="570" t="s">
        <v>963</v>
      </c>
      <c r="C100" s="622">
        <f>C102+C103</f>
        <v>0</v>
      </c>
      <c r="D100" s="623">
        <f>D102+D103</f>
        <v>0</v>
      </c>
      <c r="E100" s="623">
        <f>E102+E103</f>
        <v>0</v>
      </c>
      <c r="F100" s="482"/>
      <c r="G100" s="622">
        <f>G102+G103</f>
        <v>0</v>
      </c>
      <c r="H100" s="623">
        <f>H102+H103</f>
        <v>0</v>
      </c>
      <c r="I100" s="623">
        <f>I102+I103</f>
        <v>0</v>
      </c>
      <c r="J100" s="482"/>
    </row>
    <row r="101" spans="1:10" ht="12.75">
      <c r="A101" s="481"/>
      <c r="B101" s="485" t="s">
        <v>958</v>
      </c>
      <c r="C101" s="484"/>
      <c r="D101" s="483"/>
      <c r="E101" s="483"/>
      <c r="F101" s="482"/>
      <c r="G101" s="484"/>
      <c r="H101" s="483"/>
      <c r="I101" s="483"/>
      <c r="J101" s="482"/>
    </row>
    <row r="102" spans="1:10" ht="12.75">
      <c r="A102" s="481" t="s">
        <v>1072</v>
      </c>
      <c r="B102" s="564" t="s">
        <v>961</v>
      </c>
      <c r="C102" s="484"/>
      <c r="D102" s="483"/>
      <c r="E102" s="483"/>
      <c r="F102" s="482"/>
      <c r="G102" s="484"/>
      <c r="H102" s="483"/>
      <c r="I102" s="483"/>
      <c r="J102" s="482"/>
    </row>
    <row r="103" spans="1:10" ht="12.75">
      <c r="A103" s="481" t="s">
        <v>1071</v>
      </c>
      <c r="B103" s="564" t="s">
        <v>959</v>
      </c>
      <c r="C103" s="622">
        <f>SUM(C105:C109)</f>
        <v>0</v>
      </c>
      <c r="D103" s="623">
        <f>SUM(D105:D109)</f>
        <v>0</v>
      </c>
      <c r="E103" s="623">
        <f>SUM(E105:E109)</f>
        <v>0</v>
      </c>
      <c r="F103" s="482"/>
      <c r="G103" s="622">
        <f>SUM(G105:G109)</f>
        <v>0</v>
      </c>
      <c r="H103" s="623">
        <f>SUM(H105:H109)</f>
        <v>0</v>
      </c>
      <c r="I103" s="623">
        <f>SUM(I105:I109)</f>
        <v>0</v>
      </c>
      <c r="J103" s="482"/>
    </row>
    <row r="104" spans="1:10" ht="12.75">
      <c r="A104" s="481"/>
      <c r="B104" s="485" t="s">
        <v>958</v>
      </c>
      <c r="C104" s="484"/>
      <c r="D104" s="483"/>
      <c r="E104" s="483"/>
      <c r="F104" s="482"/>
      <c r="G104" s="484"/>
      <c r="H104" s="483"/>
      <c r="I104" s="483"/>
      <c r="J104" s="482"/>
    </row>
    <row r="105" spans="1:10" ht="12.75">
      <c r="A105" s="547" t="s">
        <v>1070</v>
      </c>
      <c r="B105" s="565" t="s">
        <v>974</v>
      </c>
      <c r="C105" s="548"/>
      <c r="D105" s="549"/>
      <c r="E105" s="549"/>
      <c r="F105" s="550"/>
      <c r="G105" s="548"/>
      <c r="H105" s="549"/>
      <c r="I105" s="549"/>
      <c r="J105" s="550"/>
    </row>
    <row r="106" spans="1:10" ht="12.75">
      <c r="A106" s="493" t="s">
        <v>1067</v>
      </c>
      <c r="B106" s="485" t="s">
        <v>1298</v>
      </c>
      <c r="C106" s="484"/>
      <c r="D106" s="483"/>
      <c r="E106" s="483"/>
      <c r="F106" s="482"/>
      <c r="G106" s="484"/>
      <c r="H106" s="483"/>
      <c r="I106" s="483"/>
      <c r="J106" s="482"/>
    </row>
    <row r="107" spans="1:10" ht="12.75">
      <c r="A107" s="493" t="s">
        <v>1069</v>
      </c>
      <c r="B107" s="485" t="s">
        <v>1254</v>
      </c>
      <c r="C107" s="484"/>
      <c r="D107" s="483"/>
      <c r="E107" s="483"/>
      <c r="F107" s="482"/>
      <c r="G107" s="484"/>
      <c r="H107" s="483"/>
      <c r="I107" s="483"/>
      <c r="J107" s="482"/>
    </row>
    <row r="108" spans="1:10" ht="12.75">
      <c r="A108" s="493" t="s">
        <v>1234</v>
      </c>
      <c r="B108" s="485" t="s">
        <v>996</v>
      </c>
      <c r="C108" s="484"/>
      <c r="D108" s="483"/>
      <c r="E108" s="483"/>
      <c r="F108" s="482"/>
      <c r="G108" s="484"/>
      <c r="H108" s="483"/>
      <c r="I108" s="483"/>
      <c r="J108" s="482"/>
    </row>
    <row r="109" spans="1:10" ht="12.75">
      <c r="A109" s="493" t="s">
        <v>1253</v>
      </c>
      <c r="B109" s="485"/>
      <c r="C109" s="484"/>
      <c r="D109" s="483"/>
      <c r="E109" s="483"/>
      <c r="F109" s="482"/>
      <c r="G109" s="484"/>
      <c r="H109" s="483"/>
      <c r="I109" s="483"/>
      <c r="J109" s="482"/>
    </row>
    <row r="110" spans="1:10" ht="36.75" customHeight="1">
      <c r="A110" s="481" t="s">
        <v>1068</v>
      </c>
      <c r="B110" s="564" t="s">
        <v>951</v>
      </c>
      <c r="C110" s="484"/>
      <c r="D110" s="483"/>
      <c r="E110" s="483"/>
      <c r="F110" s="482"/>
      <c r="G110" s="484"/>
      <c r="H110" s="483"/>
      <c r="I110" s="483"/>
      <c r="J110" s="482"/>
    </row>
    <row r="111" spans="1:10" ht="12.75">
      <c r="A111" s="481" t="s">
        <v>1067</v>
      </c>
      <c r="B111" s="564" t="s">
        <v>989</v>
      </c>
      <c r="C111" s="484"/>
      <c r="D111" s="483"/>
      <c r="E111" s="483"/>
      <c r="F111" s="482"/>
      <c r="G111" s="484"/>
      <c r="H111" s="483"/>
      <c r="I111" s="483"/>
      <c r="J111" s="482"/>
    </row>
    <row r="112" spans="1:10" ht="36.75" customHeight="1">
      <c r="A112" s="481" t="s">
        <v>1066</v>
      </c>
      <c r="B112" s="564" t="s">
        <v>1065</v>
      </c>
      <c r="C112" s="484"/>
      <c r="D112" s="483"/>
      <c r="E112" s="483"/>
      <c r="F112" s="482"/>
      <c r="G112" s="484"/>
      <c r="H112" s="483"/>
      <c r="I112" s="483"/>
      <c r="J112" s="482"/>
    </row>
    <row r="113" spans="1:13" ht="12.75">
      <c r="A113" s="481" t="s">
        <v>1064</v>
      </c>
      <c r="B113" s="564" t="s">
        <v>1063</v>
      </c>
      <c r="C113" s="622">
        <f>C87-C99-C100</f>
        <v>39785</v>
      </c>
      <c r="D113" s="623">
        <f>D87-D99-D100</f>
        <v>13.875</v>
      </c>
      <c r="E113" s="623">
        <f>E87-E99-E100</f>
        <v>0</v>
      </c>
      <c r="F113" s="482"/>
      <c r="G113" s="622">
        <f>G87-G99-G100</f>
        <v>38805</v>
      </c>
      <c r="H113" s="623">
        <f>H87-H99-H100</f>
        <v>13.41</v>
      </c>
      <c r="I113" s="623">
        <f>I87-I99-I100</f>
        <v>0</v>
      </c>
      <c r="J113" s="482"/>
      <c r="K113" s="476" t="s">
        <v>1246</v>
      </c>
      <c r="L113" s="518">
        <f>C114+C115+C116</f>
        <v>39785</v>
      </c>
      <c r="M113" s="518">
        <f>D114+D115+D116</f>
        <v>13.875</v>
      </c>
    </row>
    <row r="114" spans="1:10" ht="12.75">
      <c r="A114" s="486">
        <v>16</v>
      </c>
      <c r="B114" s="566" t="s">
        <v>1062</v>
      </c>
      <c r="C114" s="484"/>
      <c r="D114" s="483"/>
      <c r="E114" s="483"/>
      <c r="F114" s="482"/>
      <c r="G114" s="484"/>
      <c r="H114" s="483"/>
      <c r="I114" s="483"/>
      <c r="J114" s="482"/>
    </row>
    <row r="115" spans="1:10" ht="12.75">
      <c r="A115" s="486">
        <v>17</v>
      </c>
      <c r="B115" s="566" t="s">
        <v>1038</v>
      </c>
      <c r="C115" s="484">
        <v>39785</v>
      </c>
      <c r="D115" s="483">
        <v>13.875</v>
      </c>
      <c r="E115" s="483"/>
      <c r="F115" s="482"/>
      <c r="G115" s="484">
        <v>38805</v>
      </c>
      <c r="H115" s="483">
        <v>13.41</v>
      </c>
      <c r="I115" s="483"/>
      <c r="J115" s="482"/>
    </row>
    <row r="116" spans="1:10" ht="12.75">
      <c r="A116" s="486">
        <v>18</v>
      </c>
      <c r="B116" s="566" t="s">
        <v>983</v>
      </c>
      <c r="C116" s="484"/>
      <c r="D116" s="483"/>
      <c r="E116" s="483"/>
      <c r="F116" s="482"/>
      <c r="G116" s="484"/>
      <c r="H116" s="483"/>
      <c r="I116" s="483"/>
      <c r="J116" s="482"/>
    </row>
    <row r="117" spans="1:10" s="489" customFormat="1" ht="12.75">
      <c r="A117" s="500">
        <v>19</v>
      </c>
      <c r="B117" s="567" t="s">
        <v>1061</v>
      </c>
      <c r="C117" s="622">
        <f>C114+C119+C120</f>
        <v>3450</v>
      </c>
      <c r="D117" s="623">
        <f>D114+D119+D120</f>
        <v>1.018</v>
      </c>
      <c r="E117" s="623">
        <f>E114+E119+E120</f>
        <v>0</v>
      </c>
      <c r="F117" s="559"/>
      <c r="G117" s="622">
        <f>G114+G119+G120</f>
        <v>3470</v>
      </c>
      <c r="H117" s="623">
        <f>H114+H119+H120</f>
        <v>1.007</v>
      </c>
      <c r="I117" s="623">
        <f>I114+I119+I120</f>
        <v>0</v>
      </c>
      <c r="J117" s="559"/>
    </row>
    <row r="118" spans="1:10" s="489" customFormat="1" ht="12.75">
      <c r="A118" s="498"/>
      <c r="B118" s="568" t="s">
        <v>976</v>
      </c>
      <c r="C118" s="494"/>
      <c r="D118" s="495"/>
      <c r="E118" s="495"/>
      <c r="F118" s="496"/>
      <c r="G118" s="494"/>
      <c r="H118" s="495"/>
      <c r="I118" s="495"/>
      <c r="J118" s="496"/>
    </row>
    <row r="119" spans="1:10" s="489" customFormat="1" ht="12.75">
      <c r="A119" s="493" t="s">
        <v>1060</v>
      </c>
      <c r="B119" s="568" t="s">
        <v>1059</v>
      </c>
      <c r="C119" s="494"/>
      <c r="D119" s="495"/>
      <c r="E119" s="495"/>
      <c r="F119" s="496"/>
      <c r="G119" s="494"/>
      <c r="H119" s="495"/>
      <c r="I119" s="495"/>
      <c r="J119" s="496"/>
    </row>
    <row r="120" spans="1:10" s="489" customFormat="1" ht="12.75">
      <c r="A120" s="493" t="s">
        <v>1058</v>
      </c>
      <c r="B120" s="568" t="s">
        <v>977</v>
      </c>
      <c r="C120" s="622">
        <f>SUM(C122:C128)</f>
        <v>3450</v>
      </c>
      <c r="D120" s="623">
        <f>SUM(D122:D128)</f>
        <v>1.018</v>
      </c>
      <c r="E120" s="623">
        <f>SUM(E122:E128)</f>
        <v>0</v>
      </c>
      <c r="F120" s="496"/>
      <c r="G120" s="622">
        <f>SUM(G122:G128)</f>
        <v>3470</v>
      </c>
      <c r="H120" s="623">
        <f>SUM(H122:H128)</f>
        <v>1.007</v>
      </c>
      <c r="I120" s="623">
        <f>SUM(I122:I128)</f>
        <v>0</v>
      </c>
      <c r="J120" s="496"/>
    </row>
    <row r="121" spans="1:10" s="489" customFormat="1" ht="12.75">
      <c r="A121" s="493"/>
      <c r="B121" s="568" t="s">
        <v>976</v>
      </c>
      <c r="C121" s="494"/>
      <c r="D121" s="495"/>
      <c r="E121" s="495"/>
      <c r="F121" s="496"/>
      <c r="G121" s="494"/>
      <c r="H121" s="495"/>
      <c r="I121" s="495"/>
      <c r="J121" s="496"/>
    </row>
    <row r="122" spans="1:10" s="489" customFormat="1" ht="12.75">
      <c r="A122" s="497" t="s">
        <v>1057</v>
      </c>
      <c r="B122" s="561" t="s">
        <v>974</v>
      </c>
      <c r="C122" s="515"/>
      <c r="D122" s="516"/>
      <c r="E122" s="516"/>
      <c r="F122" s="517"/>
      <c r="G122" s="515"/>
      <c r="H122" s="516"/>
      <c r="I122" s="516"/>
      <c r="J122" s="517"/>
    </row>
    <row r="123" spans="1:10" ht="12.75">
      <c r="A123" s="493" t="s">
        <v>1056</v>
      </c>
      <c r="B123" s="485" t="s">
        <v>1254</v>
      </c>
      <c r="C123" s="484"/>
      <c r="D123" s="483"/>
      <c r="E123" s="483"/>
      <c r="F123" s="482"/>
      <c r="G123" s="484"/>
      <c r="H123" s="483"/>
      <c r="I123" s="483"/>
      <c r="J123" s="482"/>
    </row>
    <row r="124" spans="1:10" ht="12.75">
      <c r="A124" s="493" t="s">
        <v>1055</v>
      </c>
      <c r="B124" s="485" t="s">
        <v>1025</v>
      </c>
      <c r="C124" s="484"/>
      <c r="D124" s="483"/>
      <c r="E124" s="483"/>
      <c r="F124" s="482"/>
      <c r="G124" s="484"/>
      <c r="H124" s="483"/>
      <c r="I124" s="483"/>
      <c r="J124" s="482"/>
    </row>
    <row r="125" spans="1:10" ht="12.75">
      <c r="A125" s="493" t="s">
        <v>1235</v>
      </c>
      <c r="B125" s="485" t="s">
        <v>1016</v>
      </c>
      <c r="C125" s="484"/>
      <c r="D125" s="483"/>
      <c r="E125" s="483"/>
      <c r="F125" s="482"/>
      <c r="G125" s="484"/>
      <c r="H125" s="483"/>
      <c r="I125" s="483"/>
      <c r="J125" s="482"/>
    </row>
    <row r="126" spans="1:10" ht="12.75">
      <c r="A126" s="493" t="s">
        <v>1236</v>
      </c>
      <c r="B126" s="485" t="s">
        <v>1027</v>
      </c>
      <c r="C126" s="484">
        <v>3450</v>
      </c>
      <c r="D126" s="483">
        <v>1.018</v>
      </c>
      <c r="E126" s="483"/>
      <c r="F126" s="482"/>
      <c r="G126" s="484">
        <v>3470</v>
      </c>
      <c r="H126" s="483">
        <v>1.007</v>
      </c>
      <c r="I126" s="483"/>
      <c r="J126" s="482"/>
    </row>
    <row r="127" spans="1:10" ht="12.75">
      <c r="A127" s="493" t="s">
        <v>1237</v>
      </c>
      <c r="B127" s="485"/>
      <c r="C127" s="484"/>
      <c r="D127" s="483"/>
      <c r="E127" s="483"/>
      <c r="F127" s="482"/>
      <c r="G127" s="484"/>
      <c r="H127" s="483"/>
      <c r="I127" s="483"/>
      <c r="J127" s="482"/>
    </row>
    <row r="128" spans="1:10" ht="12.75">
      <c r="A128" s="493" t="s">
        <v>1238</v>
      </c>
      <c r="C128" s="484"/>
      <c r="D128" s="483"/>
      <c r="E128" s="483"/>
      <c r="F128" s="482"/>
      <c r="G128" s="484"/>
      <c r="H128" s="483"/>
      <c r="I128" s="483"/>
      <c r="J128" s="482"/>
    </row>
    <row r="129" spans="1:10" ht="12.75">
      <c r="A129" s="486">
        <v>20</v>
      </c>
      <c r="B129" s="569" t="s">
        <v>965</v>
      </c>
      <c r="C129" s="484">
        <v>137.9</v>
      </c>
      <c r="D129" s="483">
        <v>0.051</v>
      </c>
      <c r="E129" s="483"/>
      <c r="F129" s="487"/>
      <c r="G129" s="484">
        <v>137.905</v>
      </c>
      <c r="H129" s="483">
        <v>0.051</v>
      </c>
      <c r="I129" s="483"/>
      <c r="J129" s="487"/>
    </row>
    <row r="130" spans="1:10" ht="12.75">
      <c r="A130" s="486">
        <v>21</v>
      </c>
      <c r="B130" s="570" t="s">
        <v>963</v>
      </c>
      <c r="C130" s="622">
        <f>C132+C133</f>
        <v>10.8</v>
      </c>
      <c r="D130" s="623">
        <f>D132+D133</f>
        <v>0.003</v>
      </c>
      <c r="E130" s="623">
        <f>E132+E133</f>
        <v>0</v>
      </c>
      <c r="F130" s="482"/>
      <c r="G130" s="622">
        <f>G132+G133</f>
        <v>10.8</v>
      </c>
      <c r="H130" s="623">
        <f>H132+H133</f>
        <v>0.003</v>
      </c>
      <c r="I130" s="623">
        <f>I132+I133</f>
        <v>0</v>
      </c>
      <c r="J130" s="482"/>
    </row>
    <row r="131" spans="1:10" ht="12.75">
      <c r="A131" s="486"/>
      <c r="B131" s="485" t="s">
        <v>958</v>
      </c>
      <c r="C131" s="484"/>
      <c r="D131" s="483"/>
      <c r="E131" s="483"/>
      <c r="F131" s="482"/>
      <c r="G131" s="484"/>
      <c r="H131" s="483"/>
      <c r="I131" s="483"/>
      <c r="J131" s="482"/>
    </row>
    <row r="132" spans="1:10" ht="12.75">
      <c r="A132" s="481" t="s">
        <v>1053</v>
      </c>
      <c r="B132" s="564" t="s">
        <v>961</v>
      </c>
      <c r="C132" s="484">
        <v>10.8</v>
      </c>
      <c r="D132" s="483">
        <v>0.003</v>
      </c>
      <c r="E132" s="483"/>
      <c r="F132" s="482"/>
      <c r="G132" s="484">
        <v>10.8</v>
      </c>
      <c r="H132" s="483">
        <v>0.003</v>
      </c>
      <c r="I132" s="483"/>
      <c r="J132" s="482"/>
    </row>
    <row r="133" spans="1:10" ht="12.75">
      <c r="A133" s="481" t="s">
        <v>1052</v>
      </c>
      <c r="B133" s="564" t="s">
        <v>959</v>
      </c>
      <c r="C133" s="622">
        <f>SUM(C135:C139)</f>
        <v>0</v>
      </c>
      <c r="D133" s="623">
        <f>SUM(D135:D139)</f>
        <v>0</v>
      </c>
      <c r="E133" s="623">
        <f>SUM(E135:E139)</f>
        <v>0</v>
      </c>
      <c r="F133" s="482"/>
      <c r="G133" s="622">
        <f>SUM(G135:G139)</f>
        <v>0</v>
      </c>
      <c r="H133" s="623">
        <f>SUM(H135:H139)</f>
        <v>0</v>
      </c>
      <c r="I133" s="623">
        <f>SUM(I135:I139)</f>
        <v>0</v>
      </c>
      <c r="J133" s="482"/>
    </row>
    <row r="134" spans="1:10" ht="12.75">
      <c r="A134" s="481"/>
      <c r="B134" s="485" t="s">
        <v>958</v>
      </c>
      <c r="C134" s="484"/>
      <c r="D134" s="483"/>
      <c r="E134" s="483"/>
      <c r="F134" s="482"/>
      <c r="G134" s="484"/>
      <c r="H134" s="483"/>
      <c r="I134" s="483"/>
      <c r="J134" s="482"/>
    </row>
    <row r="135" spans="1:10" ht="12.75">
      <c r="A135" s="481" t="s">
        <v>1051</v>
      </c>
      <c r="B135" s="485" t="s">
        <v>1315</v>
      </c>
      <c r="C135" s="484"/>
      <c r="D135" s="483"/>
      <c r="E135" s="483"/>
      <c r="F135" s="482"/>
      <c r="G135" s="484"/>
      <c r="H135" s="483"/>
      <c r="I135" s="483"/>
      <c r="J135" s="482"/>
    </row>
    <row r="136" spans="1:10" ht="12.75">
      <c r="A136" s="481" t="s">
        <v>1044</v>
      </c>
      <c r="B136" s="485" t="s">
        <v>996</v>
      </c>
      <c r="C136" s="484"/>
      <c r="D136" s="483"/>
      <c r="E136" s="483"/>
      <c r="F136" s="482"/>
      <c r="G136" s="484"/>
      <c r="H136" s="483"/>
      <c r="I136" s="483"/>
      <c r="J136" s="482"/>
    </row>
    <row r="137" spans="1:10" ht="12.75">
      <c r="A137" s="481" t="s">
        <v>1050</v>
      </c>
      <c r="B137" s="485" t="s">
        <v>1048</v>
      </c>
      <c r="C137" s="484"/>
      <c r="D137" s="483"/>
      <c r="E137" s="483"/>
      <c r="F137" s="482"/>
      <c r="G137" s="484"/>
      <c r="H137" s="483"/>
      <c r="I137" s="483"/>
      <c r="J137" s="482"/>
    </row>
    <row r="138" spans="1:10" ht="12.75">
      <c r="A138" s="481" t="s">
        <v>1049</v>
      </c>
      <c r="B138" s="485" t="s">
        <v>1247</v>
      </c>
      <c r="C138" s="484"/>
      <c r="D138" s="483"/>
      <c r="E138" s="483"/>
      <c r="F138" s="482"/>
      <c r="G138" s="484"/>
      <c r="H138" s="483"/>
      <c r="I138" s="483"/>
      <c r="J138" s="482"/>
    </row>
    <row r="139" spans="1:10" ht="12.75">
      <c r="A139" s="481" t="s">
        <v>1047</v>
      </c>
      <c r="C139" s="484"/>
      <c r="D139" s="483"/>
      <c r="E139" s="483"/>
      <c r="F139" s="482"/>
      <c r="G139" s="484"/>
      <c r="H139" s="483"/>
      <c r="I139" s="483"/>
      <c r="J139" s="482"/>
    </row>
    <row r="140" spans="1:10" ht="12.75">
      <c r="A140" s="481" t="s">
        <v>1046</v>
      </c>
      <c r="B140" s="564" t="s">
        <v>1045</v>
      </c>
      <c r="C140" s="484"/>
      <c r="D140" s="483"/>
      <c r="E140" s="483"/>
      <c r="F140" s="482"/>
      <c r="G140" s="484"/>
      <c r="H140" s="483"/>
      <c r="I140" s="483"/>
      <c r="J140" s="482"/>
    </row>
    <row r="141" spans="1:10" ht="12.75">
      <c r="A141" s="481" t="s">
        <v>1044</v>
      </c>
      <c r="B141" s="564" t="s">
        <v>989</v>
      </c>
      <c r="C141" s="484"/>
      <c r="D141" s="483"/>
      <c r="E141" s="483"/>
      <c r="F141" s="482"/>
      <c r="G141" s="484"/>
      <c r="H141" s="483"/>
      <c r="I141" s="483"/>
      <c r="J141" s="482"/>
    </row>
    <row r="142" spans="1:10" ht="12" customHeight="1">
      <c r="A142" s="481" t="s">
        <v>1043</v>
      </c>
      <c r="B142" s="564" t="s">
        <v>1042</v>
      </c>
      <c r="C142" s="484"/>
      <c r="D142" s="483"/>
      <c r="E142" s="483"/>
      <c r="F142" s="482"/>
      <c r="G142" s="484"/>
      <c r="H142" s="483"/>
      <c r="I142" s="483"/>
      <c r="J142" s="482"/>
    </row>
    <row r="143" spans="1:13" ht="12.75">
      <c r="A143" s="481" t="s">
        <v>1041</v>
      </c>
      <c r="B143" s="564" t="s">
        <v>1040</v>
      </c>
      <c r="C143" s="622">
        <f>C117-C129-C130</f>
        <v>3301.2999999999997</v>
      </c>
      <c r="D143" s="623">
        <f>D117-D129-D130</f>
        <v>0.964</v>
      </c>
      <c r="E143" s="623">
        <f>E117-E129-E130</f>
        <v>0</v>
      </c>
      <c r="F143" s="482"/>
      <c r="G143" s="622">
        <f>G117-G129-G130</f>
        <v>3321.2949999999996</v>
      </c>
      <c r="H143" s="623">
        <f>H117-H129-H130</f>
        <v>0.9529999999999998</v>
      </c>
      <c r="I143" s="623">
        <f>I117-I129-I130</f>
        <v>0</v>
      </c>
      <c r="J143" s="482"/>
      <c r="K143" s="476" t="s">
        <v>1246</v>
      </c>
      <c r="L143" s="518">
        <f>C144+C145</f>
        <v>3301.3</v>
      </c>
      <c r="M143" s="518">
        <f>D144+D145</f>
        <v>0.964</v>
      </c>
    </row>
    <row r="144" spans="1:10" ht="12.75">
      <c r="A144" s="481" t="s">
        <v>1039</v>
      </c>
      <c r="B144" s="566" t="s">
        <v>1038</v>
      </c>
      <c r="C144" s="484">
        <v>3301.3</v>
      </c>
      <c r="D144" s="483">
        <v>0.964</v>
      </c>
      <c r="E144" s="483"/>
      <c r="F144" s="482"/>
      <c r="G144" s="484">
        <v>3321.295</v>
      </c>
      <c r="H144" s="483">
        <v>0.953</v>
      </c>
      <c r="I144" s="483"/>
      <c r="J144" s="482"/>
    </row>
    <row r="145" spans="1:10" ht="12.75">
      <c r="A145" s="481" t="s">
        <v>1037</v>
      </c>
      <c r="B145" s="566" t="s">
        <v>983</v>
      </c>
      <c r="C145" s="484"/>
      <c r="D145" s="483"/>
      <c r="E145" s="483"/>
      <c r="F145" s="482"/>
      <c r="G145" s="484"/>
      <c r="H145" s="483"/>
      <c r="I145" s="483"/>
      <c r="J145" s="482"/>
    </row>
    <row r="146" spans="1:10" s="489" customFormat="1" ht="15.75" customHeight="1">
      <c r="A146" s="499" t="s">
        <v>1036</v>
      </c>
      <c r="B146" s="567" t="s">
        <v>1035</v>
      </c>
      <c r="C146" s="626">
        <f>C115+C144+C148+C149</f>
        <v>44356.3</v>
      </c>
      <c r="D146" s="627">
        <f>D115+D144+D148+D149</f>
        <v>15.212</v>
      </c>
      <c r="E146" s="627"/>
      <c r="F146" s="628"/>
      <c r="G146" s="626">
        <f>G115+G144+G148+G149</f>
        <v>43246.295</v>
      </c>
      <c r="H146" s="627">
        <f>H115+H144+H148+H149</f>
        <v>14.686</v>
      </c>
      <c r="I146" s="627"/>
      <c r="J146" s="628"/>
    </row>
    <row r="147" spans="1:10" ht="12.75">
      <c r="A147" s="481"/>
      <c r="B147" s="485" t="s">
        <v>976</v>
      </c>
      <c r="C147" s="484"/>
      <c r="D147" s="483"/>
      <c r="E147" s="483"/>
      <c r="F147" s="482"/>
      <c r="G147" s="484"/>
      <c r="H147" s="483"/>
      <c r="I147" s="483"/>
      <c r="J147" s="482"/>
    </row>
    <row r="148" spans="1:10" ht="15" customHeight="1">
      <c r="A148" s="481" t="s">
        <v>1034</v>
      </c>
      <c r="B148" s="564" t="s">
        <v>1239</v>
      </c>
      <c r="C148" s="573"/>
      <c r="D148" s="483"/>
      <c r="E148" s="483"/>
      <c r="F148" s="482"/>
      <c r="G148" s="573"/>
      <c r="H148" s="483"/>
      <c r="I148" s="483"/>
      <c r="J148" s="482"/>
    </row>
    <row r="149" spans="1:10" ht="12.75">
      <c r="A149" s="481" t="s">
        <v>1033</v>
      </c>
      <c r="B149" s="485" t="s">
        <v>977</v>
      </c>
      <c r="C149" s="629">
        <f>SUM(C151:C167)</f>
        <v>1270</v>
      </c>
      <c r="D149" s="630">
        <f>SUM(D151:D167)</f>
        <v>0.373</v>
      </c>
      <c r="E149" s="630">
        <f>SUM(E151:E167)</f>
        <v>0</v>
      </c>
      <c r="F149" s="482"/>
      <c r="G149" s="629">
        <f>SUM(G151:G167)</f>
        <v>1120</v>
      </c>
      <c r="H149" s="630">
        <f>SUM(H151:H167)</f>
        <v>0.323</v>
      </c>
      <c r="I149" s="630">
        <f>SUM(I151:I167)</f>
        <v>0</v>
      </c>
      <c r="J149" s="482"/>
    </row>
    <row r="150" spans="1:10" ht="12.75">
      <c r="A150" s="481"/>
      <c r="B150" s="485" t="s">
        <v>976</v>
      </c>
      <c r="C150" s="573"/>
      <c r="D150" s="483"/>
      <c r="E150" s="483"/>
      <c r="F150" s="482"/>
      <c r="G150" s="573"/>
      <c r="H150" s="483"/>
      <c r="I150" s="483"/>
      <c r="J150" s="482"/>
    </row>
    <row r="151" spans="1:10" ht="12.75">
      <c r="A151" s="481" t="s">
        <v>1032</v>
      </c>
      <c r="B151" s="485" t="s">
        <v>1031</v>
      </c>
      <c r="C151" s="484"/>
      <c r="D151" s="483"/>
      <c r="E151" s="483"/>
      <c r="F151" s="482"/>
      <c r="G151" s="484"/>
      <c r="H151" s="483"/>
      <c r="I151" s="483"/>
      <c r="J151" s="482"/>
    </row>
    <row r="152" spans="1:10" ht="12.75">
      <c r="A152" s="481" t="s">
        <v>1030</v>
      </c>
      <c r="B152" s="485" t="s">
        <v>970</v>
      </c>
      <c r="C152" s="484"/>
      <c r="D152" s="483"/>
      <c r="E152" s="483"/>
      <c r="F152" s="482"/>
      <c r="G152" s="484"/>
      <c r="H152" s="483"/>
      <c r="I152" s="483"/>
      <c r="J152" s="482"/>
    </row>
    <row r="153" spans="1:10" ht="12.75">
      <c r="A153" s="497" t="s">
        <v>1029</v>
      </c>
      <c r="B153" s="561" t="s">
        <v>974</v>
      </c>
      <c r="C153" s="515"/>
      <c r="D153" s="516"/>
      <c r="E153" s="516"/>
      <c r="F153" s="517"/>
      <c r="G153" s="515"/>
      <c r="H153" s="516"/>
      <c r="I153" s="516"/>
      <c r="J153" s="517"/>
    </row>
    <row r="154" spans="1:10" ht="12.75">
      <c r="A154" s="481" t="s">
        <v>1028</v>
      </c>
      <c r="B154" s="485" t="s">
        <v>1027</v>
      </c>
      <c r="C154" s="484">
        <v>1270</v>
      </c>
      <c r="D154" s="483">
        <v>0.373</v>
      </c>
      <c r="E154" s="483"/>
      <c r="F154" s="482"/>
      <c r="G154" s="484">
        <v>1120</v>
      </c>
      <c r="H154" s="483">
        <v>0.323</v>
      </c>
      <c r="I154" s="483"/>
      <c r="J154" s="482"/>
    </row>
    <row r="155" spans="1:10" ht="12.75">
      <c r="A155" s="481" t="s">
        <v>1026</v>
      </c>
      <c r="B155" s="485" t="s">
        <v>1025</v>
      </c>
      <c r="C155" s="484"/>
      <c r="D155" s="483"/>
      <c r="E155" s="483"/>
      <c r="F155" s="482"/>
      <c r="G155" s="484"/>
      <c r="H155" s="483"/>
      <c r="I155" s="483"/>
      <c r="J155" s="482"/>
    </row>
    <row r="156" spans="1:10" ht="12.75">
      <c r="A156" s="481" t="s">
        <v>1024</v>
      </c>
      <c r="B156" s="485"/>
      <c r="C156" s="484"/>
      <c r="D156" s="483"/>
      <c r="E156" s="483"/>
      <c r="F156" s="482"/>
      <c r="G156" s="484"/>
      <c r="H156" s="483"/>
      <c r="I156" s="483"/>
      <c r="J156" s="482"/>
    </row>
    <row r="157" spans="1:10" ht="12.75">
      <c r="A157" s="481" t="s">
        <v>1023</v>
      </c>
      <c r="B157" s="485" t="s">
        <v>1296</v>
      </c>
      <c r="C157" s="484"/>
      <c r="D157" s="483"/>
      <c r="E157" s="483"/>
      <c r="F157" s="482"/>
      <c r="G157" s="484"/>
      <c r="H157" s="483"/>
      <c r="I157" s="483"/>
      <c r="J157" s="482"/>
    </row>
    <row r="158" spans="1:10" ht="12.75">
      <c r="A158" s="481" t="s">
        <v>1022</v>
      </c>
      <c r="B158" s="485" t="s">
        <v>1021</v>
      </c>
      <c r="C158" s="484"/>
      <c r="D158" s="483"/>
      <c r="E158" s="483"/>
      <c r="F158" s="482"/>
      <c r="G158" s="484"/>
      <c r="H158" s="483"/>
      <c r="I158" s="483"/>
      <c r="J158" s="482"/>
    </row>
    <row r="159" spans="1:10" ht="12.75">
      <c r="A159" s="481" t="s">
        <v>1020</v>
      </c>
      <c r="B159" s="485" t="s">
        <v>1297</v>
      </c>
      <c r="C159" s="484"/>
      <c r="D159" s="483"/>
      <c r="E159" s="483"/>
      <c r="F159" s="482"/>
      <c r="G159" s="484"/>
      <c r="H159" s="483"/>
      <c r="I159" s="483"/>
      <c r="J159" s="482"/>
    </row>
    <row r="160" spans="1:10" ht="12.75">
      <c r="A160" s="481" t="s">
        <v>1019</v>
      </c>
      <c r="B160" s="485" t="s">
        <v>1018</v>
      </c>
      <c r="C160" s="484"/>
      <c r="D160" s="483"/>
      <c r="E160" s="483"/>
      <c r="F160" s="482"/>
      <c r="G160" s="484"/>
      <c r="H160" s="483"/>
      <c r="I160" s="483"/>
      <c r="J160" s="482"/>
    </row>
    <row r="161" spans="1:10" ht="12.75">
      <c r="A161" s="481" t="s">
        <v>1017</v>
      </c>
      <c r="B161" s="485" t="s">
        <v>1016</v>
      </c>
      <c r="C161" s="484"/>
      <c r="D161" s="483"/>
      <c r="E161" s="483"/>
      <c r="F161" s="482"/>
      <c r="G161" s="484"/>
      <c r="H161" s="483"/>
      <c r="I161" s="483"/>
      <c r="J161" s="482"/>
    </row>
    <row r="162" spans="1:10" ht="12.75">
      <c r="A162" s="481" t="s">
        <v>1015</v>
      </c>
      <c r="B162" s="485" t="s">
        <v>953</v>
      </c>
      <c r="C162" s="484"/>
      <c r="D162" s="483"/>
      <c r="E162" s="483"/>
      <c r="F162" s="482"/>
      <c r="G162" s="484"/>
      <c r="H162" s="483"/>
      <c r="I162" s="483"/>
      <c r="J162" s="482"/>
    </row>
    <row r="163" spans="1:10" ht="12.75">
      <c r="A163" s="481" t="s">
        <v>1240</v>
      </c>
      <c r="B163" s="485" t="s">
        <v>1254</v>
      </c>
      <c r="C163" s="484"/>
      <c r="D163" s="483"/>
      <c r="E163" s="483"/>
      <c r="F163" s="482"/>
      <c r="G163" s="484"/>
      <c r="H163" s="483"/>
      <c r="I163" s="483"/>
      <c r="J163" s="482"/>
    </row>
    <row r="164" spans="1:10" ht="12.75">
      <c r="A164" s="481" t="s">
        <v>1241</v>
      </c>
      <c r="B164" s="485" t="s">
        <v>1298</v>
      </c>
      <c r="C164" s="484"/>
      <c r="D164" s="483"/>
      <c r="E164" s="483"/>
      <c r="F164" s="482"/>
      <c r="G164" s="484"/>
      <c r="H164" s="483"/>
      <c r="I164" s="483"/>
      <c r="J164" s="482"/>
    </row>
    <row r="165" spans="1:10" ht="12.75">
      <c r="A165" s="481" t="s">
        <v>1242</v>
      </c>
      <c r="B165" s="485"/>
      <c r="C165" s="484"/>
      <c r="D165" s="483"/>
      <c r="E165" s="483"/>
      <c r="F165" s="482"/>
      <c r="G165" s="484"/>
      <c r="H165" s="483"/>
      <c r="I165" s="483"/>
      <c r="J165" s="482"/>
    </row>
    <row r="166" spans="1:10" ht="12.75">
      <c r="A166" s="481" t="s">
        <v>1243</v>
      </c>
      <c r="B166" s="485"/>
      <c r="C166" s="484"/>
      <c r="D166" s="483"/>
      <c r="E166" s="483"/>
      <c r="F166" s="482"/>
      <c r="G166" s="484"/>
      <c r="H166" s="483"/>
      <c r="I166" s="483"/>
      <c r="J166" s="482"/>
    </row>
    <row r="167" spans="1:10" ht="12.75">
      <c r="A167" s="481" t="s">
        <v>1244</v>
      </c>
      <c r="B167" s="485"/>
      <c r="C167" s="484"/>
      <c r="D167" s="483"/>
      <c r="E167" s="483"/>
      <c r="F167" s="482"/>
      <c r="G167" s="484"/>
      <c r="H167" s="483"/>
      <c r="I167" s="483"/>
      <c r="J167" s="482"/>
    </row>
    <row r="168" spans="1:10" ht="12.75">
      <c r="A168" s="481" t="s">
        <v>1014</v>
      </c>
      <c r="B168" s="569" t="s">
        <v>965</v>
      </c>
      <c r="C168" s="484">
        <v>1666.741</v>
      </c>
      <c r="D168" s="483">
        <v>0.607</v>
      </c>
      <c r="E168" s="483"/>
      <c r="F168" s="482"/>
      <c r="G168" s="484">
        <v>1666.74</v>
      </c>
      <c r="H168" s="483">
        <v>0.607</v>
      </c>
      <c r="I168" s="483"/>
      <c r="J168" s="482"/>
    </row>
    <row r="169" spans="1:10" ht="12.75">
      <c r="A169" s="481" t="s">
        <v>1013</v>
      </c>
      <c r="B169" s="570" t="s">
        <v>963</v>
      </c>
      <c r="C169" s="622">
        <f>C171+C172</f>
        <v>14642</v>
      </c>
      <c r="D169" s="623">
        <f>D171+D172</f>
        <v>4.044</v>
      </c>
      <c r="E169" s="623">
        <f>E171+E172</f>
        <v>0</v>
      </c>
      <c r="F169" s="482"/>
      <c r="G169" s="622">
        <f>G171+G172</f>
        <v>12204</v>
      </c>
      <c r="H169" s="623">
        <f>H171+H172</f>
        <v>4.044</v>
      </c>
      <c r="I169" s="623">
        <f>I171+I172</f>
        <v>0</v>
      </c>
      <c r="J169" s="482"/>
    </row>
    <row r="170" spans="1:10" ht="12.75">
      <c r="A170" s="481"/>
      <c r="B170" s="485" t="s">
        <v>958</v>
      </c>
      <c r="C170" s="484"/>
      <c r="D170" s="483"/>
      <c r="E170" s="483"/>
      <c r="F170" s="482"/>
      <c r="G170" s="484"/>
      <c r="H170" s="483"/>
      <c r="I170" s="483"/>
      <c r="J170" s="482"/>
    </row>
    <row r="171" spans="1:10" ht="12.75">
      <c r="A171" s="481" t="s">
        <v>1012</v>
      </c>
      <c r="B171" s="564" t="s">
        <v>1011</v>
      </c>
      <c r="C171" s="484">
        <v>14642</v>
      </c>
      <c r="D171" s="483">
        <v>4.044</v>
      </c>
      <c r="E171" s="483"/>
      <c r="F171" s="482"/>
      <c r="G171" s="484">
        <v>12204</v>
      </c>
      <c r="H171" s="483">
        <v>4.044</v>
      </c>
      <c r="I171" s="483"/>
      <c r="J171" s="482"/>
    </row>
    <row r="172" spans="1:10" ht="12.75">
      <c r="A172" s="481" t="s">
        <v>1010</v>
      </c>
      <c r="B172" s="564" t="s">
        <v>959</v>
      </c>
      <c r="C172" s="622">
        <f>SUM(C174:C189)</f>
        <v>0</v>
      </c>
      <c r="D172" s="623">
        <f>SUM(D174:D189)</f>
        <v>0</v>
      </c>
      <c r="E172" s="623"/>
      <c r="F172" s="482"/>
      <c r="G172" s="622">
        <f>SUM(G174:G189)</f>
        <v>0</v>
      </c>
      <c r="H172" s="623">
        <f>SUM(H174:H189)</f>
        <v>0</v>
      </c>
      <c r="I172" s="623"/>
      <c r="J172" s="482"/>
    </row>
    <row r="173" spans="1:10" ht="12.75">
      <c r="A173" s="481"/>
      <c r="B173" s="485" t="s">
        <v>958</v>
      </c>
      <c r="C173" s="484"/>
      <c r="D173" s="483"/>
      <c r="E173" s="483"/>
      <c r="F173" s="482"/>
      <c r="G173" s="484"/>
      <c r="H173" s="483"/>
      <c r="I173" s="483"/>
      <c r="J173" s="482"/>
    </row>
    <row r="174" spans="1:10" ht="12.75">
      <c r="A174" s="481" t="s">
        <v>1009</v>
      </c>
      <c r="B174" s="485" t="s">
        <v>1297</v>
      </c>
      <c r="C174" s="484"/>
      <c r="D174" s="483"/>
      <c r="E174" s="483"/>
      <c r="F174" s="482"/>
      <c r="G174" s="484"/>
      <c r="H174" s="483"/>
      <c r="I174" s="483"/>
      <c r="J174" s="482"/>
    </row>
    <row r="175" spans="1:10" ht="12.75">
      <c r="A175" s="481" t="s">
        <v>990</v>
      </c>
      <c r="B175" s="485" t="s">
        <v>1007</v>
      </c>
      <c r="C175" s="484"/>
      <c r="D175" s="483"/>
      <c r="E175" s="483"/>
      <c r="F175" s="482"/>
      <c r="G175" s="484"/>
      <c r="H175" s="483"/>
      <c r="I175" s="483"/>
      <c r="J175" s="482"/>
    </row>
    <row r="176" spans="1:10" ht="12.75">
      <c r="A176" s="481" t="s">
        <v>1008</v>
      </c>
      <c r="B176" s="485"/>
      <c r="C176" s="484"/>
      <c r="D176" s="483"/>
      <c r="E176" s="483"/>
      <c r="F176" s="482"/>
      <c r="G176" s="484"/>
      <c r="H176" s="483"/>
      <c r="I176" s="483"/>
      <c r="J176" s="482"/>
    </row>
    <row r="177" spans="1:10" ht="12.75">
      <c r="A177" s="481" t="s">
        <v>1006</v>
      </c>
      <c r="B177" s="485" t="s">
        <v>956</v>
      </c>
      <c r="C177" s="484"/>
      <c r="D177" s="483"/>
      <c r="E177" s="483"/>
      <c r="F177" s="482"/>
      <c r="G177" s="484"/>
      <c r="H177" s="483"/>
      <c r="I177" s="483"/>
      <c r="J177" s="482"/>
    </row>
    <row r="178" spans="1:10" ht="12.75">
      <c r="A178" s="481" t="s">
        <v>1005</v>
      </c>
      <c r="B178" s="485" t="s">
        <v>1296</v>
      </c>
      <c r="C178" s="484"/>
      <c r="D178" s="483"/>
      <c r="E178" s="483"/>
      <c r="F178" s="482"/>
      <c r="G178" s="484"/>
      <c r="H178" s="483"/>
      <c r="I178" s="483"/>
      <c r="J178" s="482"/>
    </row>
    <row r="179" spans="1:10" ht="12.75">
      <c r="A179" s="481" t="s">
        <v>1004</v>
      </c>
      <c r="B179" s="485" t="s">
        <v>1025</v>
      </c>
      <c r="C179" s="484"/>
      <c r="D179" s="483"/>
      <c r="E179" s="483"/>
      <c r="F179" s="482"/>
      <c r="G179" s="484"/>
      <c r="H179" s="483"/>
      <c r="I179" s="483"/>
      <c r="J179" s="482"/>
    </row>
    <row r="180" spans="1:10" ht="12.75">
      <c r="A180" s="481" t="s">
        <v>1003</v>
      </c>
      <c r="B180" s="485"/>
      <c r="C180" s="484"/>
      <c r="D180" s="483"/>
      <c r="E180" s="483"/>
      <c r="F180" s="482"/>
      <c r="G180" s="484"/>
      <c r="H180" s="483"/>
      <c r="I180" s="483"/>
      <c r="J180" s="482"/>
    </row>
    <row r="181" spans="1:10" ht="12.75">
      <c r="A181" s="481" t="s">
        <v>1002</v>
      </c>
      <c r="B181" s="485" t="s">
        <v>1247</v>
      </c>
      <c r="C181" s="484"/>
      <c r="D181" s="483"/>
      <c r="E181" s="483"/>
      <c r="F181" s="482"/>
      <c r="G181" s="484"/>
      <c r="H181" s="483"/>
      <c r="I181" s="483"/>
      <c r="J181" s="482"/>
    </row>
    <row r="182" spans="1:10" ht="12.75">
      <c r="A182" s="481" t="s">
        <v>1001</v>
      </c>
      <c r="B182" s="485" t="s">
        <v>974</v>
      </c>
      <c r="C182" s="484"/>
      <c r="D182" s="483"/>
      <c r="E182" s="483"/>
      <c r="F182" s="482"/>
      <c r="G182" s="484"/>
      <c r="H182" s="483"/>
      <c r="I182" s="483"/>
      <c r="J182" s="482"/>
    </row>
    <row r="183" spans="1:10" ht="12.75">
      <c r="A183" s="481" t="s">
        <v>1000</v>
      </c>
      <c r="B183" s="485" t="s">
        <v>1298</v>
      </c>
      <c r="C183" s="484"/>
      <c r="D183" s="483"/>
      <c r="E183" s="483"/>
      <c r="F183" s="482"/>
      <c r="G183" s="484"/>
      <c r="H183" s="483"/>
      <c r="I183" s="483"/>
      <c r="J183" s="482"/>
    </row>
    <row r="184" spans="1:10" ht="12.75">
      <c r="A184" s="481" t="s">
        <v>999</v>
      </c>
      <c r="B184" s="485" t="s">
        <v>996</v>
      </c>
      <c r="C184" s="484"/>
      <c r="D184" s="483"/>
      <c r="E184" s="483"/>
      <c r="F184" s="482"/>
      <c r="G184" s="484"/>
      <c r="H184" s="483"/>
      <c r="I184" s="483"/>
      <c r="J184" s="482"/>
    </row>
    <row r="185" spans="1:10" ht="12.75">
      <c r="A185" s="481" t="s">
        <v>998</v>
      </c>
      <c r="B185" s="485" t="s">
        <v>1299</v>
      </c>
      <c r="C185" s="484"/>
      <c r="D185" s="483"/>
      <c r="E185" s="483"/>
      <c r="F185" s="482"/>
      <c r="G185" s="484"/>
      <c r="H185" s="483"/>
      <c r="I185" s="483"/>
      <c r="J185" s="482"/>
    </row>
    <row r="186" spans="1:10" ht="12.75">
      <c r="A186" s="481" t="s">
        <v>997</v>
      </c>
      <c r="B186" s="485" t="s">
        <v>1254</v>
      </c>
      <c r="C186" s="484"/>
      <c r="D186" s="483"/>
      <c r="E186" s="483"/>
      <c r="F186" s="482"/>
      <c r="G186" s="484"/>
      <c r="H186" s="483"/>
      <c r="I186" s="483"/>
      <c r="J186" s="482"/>
    </row>
    <row r="187" spans="1:10" ht="12.75">
      <c r="A187" s="481" t="s">
        <v>995</v>
      </c>
      <c r="B187" s="485" t="s">
        <v>953</v>
      </c>
      <c r="C187" s="484"/>
      <c r="D187" s="483"/>
      <c r="E187" s="483"/>
      <c r="F187" s="482"/>
      <c r="G187" s="484"/>
      <c r="H187" s="483"/>
      <c r="I187" s="483"/>
      <c r="J187" s="482"/>
    </row>
    <row r="188" spans="1:10" ht="12.75">
      <c r="A188" s="481" t="s">
        <v>994</v>
      </c>
      <c r="B188" s="485"/>
      <c r="C188" s="484"/>
      <c r="D188" s="483"/>
      <c r="E188" s="483"/>
      <c r="F188" s="482"/>
      <c r="G188" s="484"/>
      <c r="H188" s="483"/>
      <c r="I188" s="483"/>
      <c r="J188" s="482"/>
    </row>
    <row r="189" spans="1:10" ht="12.75">
      <c r="A189" s="481" t="s">
        <v>993</v>
      </c>
      <c r="B189" s="485"/>
      <c r="C189" s="484"/>
      <c r="D189" s="483"/>
      <c r="E189" s="483"/>
      <c r="F189" s="482"/>
      <c r="G189" s="484"/>
      <c r="H189" s="483"/>
      <c r="I189" s="483"/>
      <c r="J189" s="482"/>
    </row>
    <row r="190" spans="1:10" ht="15.75" customHeight="1">
      <c r="A190" s="481" t="s">
        <v>992</v>
      </c>
      <c r="B190" s="564" t="s">
        <v>991</v>
      </c>
      <c r="C190" s="484"/>
      <c r="D190" s="483"/>
      <c r="E190" s="483"/>
      <c r="F190" s="482"/>
      <c r="G190" s="484"/>
      <c r="H190" s="483"/>
      <c r="I190" s="483"/>
      <c r="J190" s="482"/>
    </row>
    <row r="191" spans="1:10" ht="12.75">
      <c r="A191" s="481" t="s">
        <v>990</v>
      </c>
      <c r="B191" s="564" t="s">
        <v>989</v>
      </c>
      <c r="C191" s="484"/>
      <c r="D191" s="483"/>
      <c r="E191" s="483"/>
      <c r="F191" s="482"/>
      <c r="G191" s="484"/>
      <c r="H191" s="483"/>
      <c r="I191" s="483"/>
      <c r="J191" s="482"/>
    </row>
    <row r="192" spans="1:10" ht="15.75" customHeight="1">
      <c r="A192" s="481" t="s">
        <v>988</v>
      </c>
      <c r="B192" s="564" t="s">
        <v>987</v>
      </c>
      <c r="C192" s="484"/>
      <c r="D192" s="483"/>
      <c r="E192" s="483"/>
      <c r="F192" s="482"/>
      <c r="G192" s="484"/>
      <c r="H192" s="483"/>
      <c r="I192" s="483"/>
      <c r="J192" s="482"/>
    </row>
    <row r="193" spans="1:10" ht="12.75">
      <c r="A193" s="481" t="s">
        <v>986</v>
      </c>
      <c r="B193" s="564" t="s">
        <v>985</v>
      </c>
      <c r="C193" s="622">
        <f>C146-C168-C169</f>
        <v>28047.559</v>
      </c>
      <c r="D193" s="623">
        <f>D146-D168-D169</f>
        <v>10.561</v>
      </c>
      <c r="E193" s="623"/>
      <c r="F193" s="482"/>
      <c r="G193" s="622">
        <f>G146-G168-G169</f>
        <v>29375.555</v>
      </c>
      <c r="H193" s="623">
        <f>H146-H168-H169</f>
        <v>10.035</v>
      </c>
      <c r="I193" s="623"/>
      <c r="J193" s="482"/>
    </row>
    <row r="194" spans="1:10" ht="12.75">
      <c r="A194" s="481" t="s">
        <v>984</v>
      </c>
      <c r="B194" s="566" t="s">
        <v>983</v>
      </c>
      <c r="C194" s="622">
        <f>C193</f>
        <v>28047.559</v>
      </c>
      <c r="D194" s="623">
        <f>D193</f>
        <v>10.561</v>
      </c>
      <c r="E194" s="623"/>
      <c r="F194" s="482"/>
      <c r="G194" s="622">
        <f>G193</f>
        <v>29375.555</v>
      </c>
      <c r="H194" s="623">
        <f>H193</f>
        <v>10.035</v>
      </c>
      <c r="I194" s="623"/>
      <c r="J194" s="482"/>
    </row>
    <row r="195" spans="1:10" ht="18.75" customHeight="1">
      <c r="A195" s="499" t="s">
        <v>982</v>
      </c>
      <c r="B195" s="567" t="s">
        <v>981</v>
      </c>
      <c r="C195" s="626">
        <f>C116+C145+C194+C197+C198</f>
        <v>28047.559</v>
      </c>
      <c r="D195" s="627">
        <f>D116+D145+D194+D197+D198</f>
        <v>10.561</v>
      </c>
      <c r="E195" s="627"/>
      <c r="F195" s="628"/>
      <c r="G195" s="626">
        <f>G116+G145+G194+G197+G198</f>
        <v>29375.555</v>
      </c>
      <c r="H195" s="627">
        <f>H116+H145+H194+H197+H198</f>
        <v>10.035</v>
      </c>
      <c r="I195" s="627"/>
      <c r="J195" s="628"/>
    </row>
    <row r="196" spans="1:10" ht="12.75">
      <c r="A196" s="481"/>
      <c r="B196" s="485" t="s">
        <v>976</v>
      </c>
      <c r="C196" s="484"/>
      <c r="D196" s="483"/>
      <c r="E196" s="483"/>
      <c r="F196" s="482"/>
      <c r="G196" s="484"/>
      <c r="H196" s="483"/>
      <c r="I196" s="483"/>
      <c r="J196" s="482"/>
    </row>
    <row r="197" spans="1:10" ht="12.75">
      <c r="A197" s="481" t="s">
        <v>980</v>
      </c>
      <c r="B197" s="485" t="s">
        <v>979</v>
      </c>
      <c r="C197" s="484"/>
      <c r="D197" s="483"/>
      <c r="E197" s="483"/>
      <c r="F197" s="482"/>
      <c r="G197" s="484"/>
      <c r="H197" s="483"/>
      <c r="I197" s="483"/>
      <c r="J197" s="482"/>
    </row>
    <row r="198" spans="1:10" ht="12.75">
      <c r="A198" s="481" t="s">
        <v>978</v>
      </c>
      <c r="B198" s="485" t="s">
        <v>977</v>
      </c>
      <c r="C198" s="622">
        <f>SUM(C200:C206)</f>
        <v>0</v>
      </c>
      <c r="D198" s="623">
        <f>SUM(D200:D206)</f>
        <v>0</v>
      </c>
      <c r="E198" s="623"/>
      <c r="F198" s="482"/>
      <c r="G198" s="622">
        <f>SUM(G200:G206)</f>
        <v>0</v>
      </c>
      <c r="H198" s="623">
        <f>SUM(H200:H206)</f>
        <v>0</v>
      </c>
      <c r="I198" s="623"/>
      <c r="J198" s="482"/>
    </row>
    <row r="199" spans="1:10" ht="12.75">
      <c r="A199" s="481"/>
      <c r="B199" s="485" t="s">
        <v>976</v>
      </c>
      <c r="C199" s="484"/>
      <c r="D199" s="483"/>
      <c r="E199" s="483"/>
      <c r="F199" s="482"/>
      <c r="G199" s="484"/>
      <c r="H199" s="483"/>
      <c r="I199" s="483"/>
      <c r="J199" s="482"/>
    </row>
    <row r="200" spans="1:10" ht="12.75">
      <c r="A200" s="497" t="s">
        <v>975</v>
      </c>
      <c r="B200" s="561" t="s">
        <v>974</v>
      </c>
      <c r="C200" s="515"/>
      <c r="D200" s="516"/>
      <c r="E200" s="516"/>
      <c r="F200" s="517"/>
      <c r="G200" s="515"/>
      <c r="H200" s="516"/>
      <c r="I200" s="516"/>
      <c r="J200" s="517"/>
    </row>
    <row r="201" spans="1:10" ht="12.75">
      <c r="A201" s="481" t="s">
        <v>973</v>
      </c>
      <c r="B201" s="485" t="s">
        <v>1296</v>
      </c>
      <c r="C201" s="484"/>
      <c r="D201" s="483"/>
      <c r="E201" s="483"/>
      <c r="F201" s="482"/>
      <c r="G201" s="484"/>
      <c r="H201" s="483"/>
      <c r="I201" s="483"/>
      <c r="J201" s="482"/>
    </row>
    <row r="202" spans="1:10" ht="12.75">
      <c r="A202" s="481" t="s">
        <v>972</v>
      </c>
      <c r="B202" s="485" t="s">
        <v>953</v>
      </c>
      <c r="C202" s="484"/>
      <c r="D202" s="483"/>
      <c r="E202" s="483"/>
      <c r="F202" s="482"/>
      <c r="G202" s="484"/>
      <c r="H202" s="483"/>
      <c r="I202" s="483"/>
      <c r="J202" s="482"/>
    </row>
    <row r="203" spans="1:10" ht="12.75">
      <c r="A203" s="481" t="s">
        <v>971</v>
      </c>
      <c r="B203" s="485" t="s">
        <v>970</v>
      </c>
      <c r="C203" s="484"/>
      <c r="D203" s="483"/>
      <c r="E203" s="483"/>
      <c r="F203" s="482"/>
      <c r="G203" s="484"/>
      <c r="H203" s="483"/>
      <c r="I203" s="483"/>
      <c r="J203" s="482"/>
    </row>
    <row r="204" spans="1:10" ht="12.75">
      <c r="A204" s="481" t="s">
        <v>969</v>
      </c>
      <c r="B204" s="485" t="s">
        <v>1297</v>
      </c>
      <c r="C204" s="484"/>
      <c r="D204" s="483"/>
      <c r="E204" s="483"/>
      <c r="F204" s="482"/>
      <c r="G204" s="484"/>
      <c r="H204" s="483"/>
      <c r="I204" s="483"/>
      <c r="J204" s="482"/>
    </row>
    <row r="205" spans="1:10" ht="12.75">
      <c r="A205" s="481" t="s">
        <v>968</v>
      </c>
      <c r="B205" s="485"/>
      <c r="C205" s="484"/>
      <c r="D205" s="483"/>
      <c r="E205" s="483"/>
      <c r="F205" s="482"/>
      <c r="G205" s="484"/>
      <c r="H205" s="483"/>
      <c r="I205" s="483"/>
      <c r="J205" s="482"/>
    </row>
    <row r="206" spans="1:10" ht="12.75">
      <c r="A206" s="481" t="s">
        <v>1248</v>
      </c>
      <c r="B206" s="485" t="s">
        <v>1254</v>
      </c>
      <c r="C206" s="484"/>
      <c r="D206" s="483"/>
      <c r="E206" s="483"/>
      <c r="F206" s="482"/>
      <c r="G206" s="484"/>
      <c r="H206" s="483"/>
      <c r="I206" s="483"/>
      <c r="J206" s="482"/>
    </row>
    <row r="207" spans="1:10" ht="12.75">
      <c r="A207" s="481" t="s">
        <v>966</v>
      </c>
      <c r="B207" s="569" t="s">
        <v>965</v>
      </c>
      <c r="C207" s="484">
        <v>3207.2</v>
      </c>
      <c r="D207" s="483">
        <v>1.062</v>
      </c>
      <c r="E207" s="483"/>
      <c r="F207" s="482"/>
      <c r="G207" s="484">
        <v>3207.12</v>
      </c>
      <c r="H207" s="483">
        <v>1.092</v>
      </c>
      <c r="I207" s="483"/>
      <c r="J207" s="482"/>
    </row>
    <row r="208" spans="1:10" ht="12.75">
      <c r="A208" s="481" t="s">
        <v>964</v>
      </c>
      <c r="B208" s="570" t="s">
        <v>963</v>
      </c>
      <c r="C208" s="622">
        <f>C195-C207</f>
        <v>24840.359</v>
      </c>
      <c r="D208" s="623">
        <f>D195-D207</f>
        <v>9.499</v>
      </c>
      <c r="E208" s="623"/>
      <c r="F208" s="482"/>
      <c r="G208" s="622">
        <f>G195-G207</f>
        <v>26168.435</v>
      </c>
      <c r="H208" s="623">
        <f>H195-H207</f>
        <v>8.943</v>
      </c>
      <c r="I208" s="623"/>
      <c r="J208" s="482"/>
    </row>
    <row r="209" spans="1:10" ht="12.75">
      <c r="A209" s="481"/>
      <c r="B209" s="485" t="s">
        <v>958</v>
      </c>
      <c r="C209" s="484"/>
      <c r="D209" s="483"/>
      <c r="E209" s="483"/>
      <c r="F209" s="482"/>
      <c r="G209" s="484"/>
      <c r="H209" s="483"/>
      <c r="I209" s="483"/>
      <c r="J209" s="482"/>
    </row>
    <row r="210" spans="1:10" ht="12.75">
      <c r="A210" s="481" t="s">
        <v>962</v>
      </c>
      <c r="B210" s="564" t="s">
        <v>961</v>
      </c>
      <c r="C210" s="484">
        <v>24840.359</v>
      </c>
      <c r="D210" s="483">
        <v>9.499</v>
      </c>
      <c r="E210" s="483"/>
      <c r="F210" s="482"/>
      <c r="G210" s="484">
        <v>26168.435</v>
      </c>
      <c r="H210" s="483">
        <v>8.943</v>
      </c>
      <c r="I210" s="483"/>
      <c r="J210" s="482"/>
    </row>
    <row r="211" spans="1:10" ht="12.75">
      <c r="A211" s="481" t="s">
        <v>960</v>
      </c>
      <c r="B211" s="564" t="s">
        <v>959</v>
      </c>
      <c r="C211" s="622">
        <f>SUM(C213:C216)</f>
        <v>0</v>
      </c>
      <c r="D211" s="623">
        <f>SUM(D213:D216)</f>
        <v>0</v>
      </c>
      <c r="E211" s="623"/>
      <c r="F211" s="482"/>
      <c r="G211" s="622">
        <f>SUM(G213:G216)</f>
        <v>0</v>
      </c>
      <c r="H211" s="623">
        <f>SUM(H213:H216)</f>
        <v>0</v>
      </c>
      <c r="I211" s="623"/>
      <c r="J211" s="482"/>
    </row>
    <row r="212" spans="1:10" ht="12.75">
      <c r="A212" s="481"/>
      <c r="B212" s="485" t="s">
        <v>958</v>
      </c>
      <c r="C212" s="484"/>
      <c r="D212" s="483"/>
      <c r="E212" s="483"/>
      <c r="F212" s="482"/>
      <c r="G212" s="484"/>
      <c r="H212" s="483"/>
      <c r="I212" s="483"/>
      <c r="J212" s="482"/>
    </row>
    <row r="213" spans="1:10" ht="12.75">
      <c r="A213" s="481" t="s">
        <v>957</v>
      </c>
      <c r="B213" s="485"/>
      <c r="C213" s="484"/>
      <c r="D213" s="483"/>
      <c r="E213" s="483"/>
      <c r="F213" s="482"/>
      <c r="G213" s="484"/>
      <c r="H213" s="483"/>
      <c r="I213" s="483"/>
      <c r="J213" s="482"/>
    </row>
    <row r="214" spans="1:10" ht="12.75">
      <c r="A214" s="481" t="s">
        <v>955</v>
      </c>
      <c r="B214" s="485" t="s">
        <v>953</v>
      </c>
      <c r="C214" s="484"/>
      <c r="D214" s="483"/>
      <c r="E214" s="483"/>
      <c r="F214" s="482"/>
      <c r="G214" s="484"/>
      <c r="H214" s="483"/>
      <c r="I214" s="483"/>
      <c r="J214" s="482"/>
    </row>
    <row r="215" spans="1:10" ht="12.75">
      <c r="A215" s="481" t="s">
        <v>954</v>
      </c>
      <c r="B215" s="485" t="s">
        <v>1254</v>
      </c>
      <c r="C215" s="484"/>
      <c r="D215" s="483"/>
      <c r="E215" s="483"/>
      <c r="F215" s="482"/>
      <c r="G215" s="484"/>
      <c r="H215" s="483"/>
      <c r="I215" s="483"/>
      <c r="J215" s="482"/>
    </row>
    <row r="216" spans="1:10" ht="12.75">
      <c r="A216" s="481" t="s">
        <v>954</v>
      </c>
      <c r="B216" s="485"/>
      <c r="C216" s="484"/>
      <c r="D216" s="483"/>
      <c r="E216" s="483"/>
      <c r="F216" s="482"/>
      <c r="G216" s="484"/>
      <c r="H216" s="483"/>
      <c r="I216" s="483"/>
      <c r="J216" s="482"/>
    </row>
    <row r="217" spans="1:10" ht="15" customHeight="1" thickBot="1">
      <c r="A217" s="480" t="s">
        <v>952</v>
      </c>
      <c r="B217" s="571" t="s">
        <v>951</v>
      </c>
      <c r="C217" s="479"/>
      <c r="D217" s="478"/>
      <c r="E217" s="478"/>
      <c r="F217" s="477"/>
      <c r="G217" s="479"/>
      <c r="H217" s="478"/>
      <c r="I217" s="478"/>
      <c r="J217" s="477"/>
    </row>
    <row r="220" spans="1:10" ht="15">
      <c r="A220" s="576" t="s">
        <v>1343</v>
      </c>
      <c r="B220" s="608"/>
      <c r="C220" s="607"/>
      <c r="D220" s="608" t="s">
        <v>1342</v>
      </c>
      <c r="E220" s="608"/>
      <c r="F220" s="576"/>
      <c r="G220" s="608"/>
      <c r="H220" s="608"/>
      <c r="I220" s="608"/>
      <c r="J220" s="576"/>
    </row>
    <row r="221" spans="1:11" ht="15">
      <c r="A221" s="576"/>
      <c r="B221" s="576"/>
      <c r="C221" s="576" t="s">
        <v>1288</v>
      </c>
      <c r="D221" s="576"/>
      <c r="E221" s="576"/>
      <c r="F221" s="576"/>
      <c r="G221" s="576"/>
      <c r="H221" s="576"/>
      <c r="I221" s="576"/>
      <c r="J221" s="576"/>
      <c r="K221" s="576"/>
    </row>
    <row r="222" spans="1:11" ht="15">
      <c r="A222" s="576" t="s">
        <v>1347</v>
      </c>
      <c r="B222" s="576"/>
      <c r="C222" s="576"/>
      <c r="D222" s="576"/>
      <c r="E222" s="576"/>
      <c r="F222" s="576"/>
      <c r="G222" s="576"/>
      <c r="H222" s="576"/>
      <c r="I222" s="576"/>
      <c r="J222" s="576"/>
      <c r="K222" s="576"/>
    </row>
  </sheetData>
  <sheetProtection/>
  <mergeCells count="7">
    <mergeCell ref="A4:F4"/>
    <mergeCell ref="A6:A8"/>
    <mergeCell ref="B6:B8"/>
    <mergeCell ref="C6:F6"/>
    <mergeCell ref="G6:J6"/>
    <mergeCell ref="C7:F7"/>
    <mergeCell ref="G7:J7"/>
  </mergeCells>
  <printOptions/>
  <pageMargins left="0.7086614173228347" right="0.15748031496062992" top="0.2362204724409449" bottom="0.2755905511811024" header="0.15748031496062992" footer="0.15748031496062992"/>
  <pageSetup horizontalDpi="300" verticalDpi="300" orientation="portrait" paperSize="9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U154"/>
  <sheetViews>
    <sheetView zoomScale="85" zoomScaleNormal="85" zoomScalePageLayoutView="0" workbookViewId="0" topLeftCell="A2">
      <pane xSplit="4" ySplit="7" topLeftCell="E9" activePane="bottomRight" state="frozen"/>
      <selection pane="topLeft" activeCell="A2" sqref="A2"/>
      <selection pane="topRight" activeCell="E2" sqref="E2"/>
      <selection pane="bottomLeft" activeCell="A9" sqref="A9"/>
      <selection pane="bottomRight" activeCell="U46" sqref="U46"/>
    </sheetView>
  </sheetViews>
  <sheetFormatPr defaultColWidth="9.140625" defaultRowHeight="11.25"/>
  <cols>
    <col min="1" max="1" width="7.7109375" style="73" customWidth="1"/>
    <col min="2" max="2" width="42.8515625" style="73" customWidth="1"/>
    <col min="3" max="3" width="12.421875" style="73" hidden="1" customWidth="1"/>
    <col min="4" max="4" width="9.57421875" style="74" customWidth="1"/>
    <col min="5" max="5" width="15.140625" style="73" customWidth="1"/>
    <col min="6" max="6" width="15.421875" style="73" hidden="1" customWidth="1"/>
    <col min="7" max="7" width="12.8515625" style="73" customWidth="1"/>
    <col min="8" max="8" width="0.13671875" style="73" customWidth="1"/>
    <col min="9" max="9" width="15.28125" style="73" customWidth="1"/>
    <col min="10" max="10" width="15.421875" style="73" hidden="1" customWidth="1"/>
    <col min="11" max="11" width="14.57421875" style="73" customWidth="1"/>
    <col min="12" max="12" width="0.13671875" style="73" customWidth="1"/>
    <col min="13" max="13" width="16.421875" style="73" customWidth="1"/>
    <col min="14" max="14" width="0.13671875" style="73" customWidth="1"/>
    <col min="15" max="15" width="16.421875" style="73" customWidth="1"/>
    <col min="16" max="16" width="0.13671875" style="73" customWidth="1"/>
    <col min="17" max="20" width="9.7109375" style="73" hidden="1" customWidth="1"/>
    <col min="21" max="16384" width="9.140625" style="73" customWidth="1"/>
  </cols>
  <sheetData>
    <row r="1" spans="1:20" ht="12.75" hidden="1">
      <c r="A1" s="34" t="str">
        <f>Справочники!E13</f>
        <v>Мурманская область</v>
      </c>
      <c r="B1" s="241" t="str">
        <f>Справочники!D21</f>
        <v>МУП "Кировская горэлектросеть"</v>
      </c>
      <c r="T1" s="75" t="s">
        <v>144</v>
      </c>
    </row>
    <row r="2" spans="1:20" ht="39.75" customHeight="1" thickBot="1">
      <c r="A2" s="820" t="s">
        <v>1336</v>
      </c>
      <c r="B2" s="820"/>
      <c r="C2" s="820"/>
      <c r="D2" s="820"/>
      <c r="E2" s="820"/>
      <c r="F2" s="820"/>
      <c r="G2" s="820"/>
      <c r="H2" s="820"/>
      <c r="I2" s="820"/>
      <c r="J2" s="820"/>
      <c r="K2" s="820"/>
      <c r="L2" s="820"/>
      <c r="M2" s="820"/>
      <c r="N2" s="820"/>
      <c r="O2" s="76"/>
      <c r="P2" s="76"/>
      <c r="Q2" s="76"/>
      <c r="R2" s="76"/>
      <c r="S2" s="76"/>
      <c r="T2" s="77"/>
    </row>
    <row r="3" spans="1:20" ht="24.75" customHeight="1">
      <c r="A3" s="825" t="s">
        <v>86</v>
      </c>
      <c r="B3" s="821" t="s">
        <v>25</v>
      </c>
      <c r="C3" s="78"/>
      <c r="D3" s="827" t="s">
        <v>145</v>
      </c>
      <c r="E3" s="821">
        <v>2013</v>
      </c>
      <c r="F3" s="821"/>
      <c r="G3" s="821"/>
      <c r="H3" s="821"/>
      <c r="I3" s="821">
        <v>2014</v>
      </c>
      <c r="J3" s="821"/>
      <c r="K3" s="821"/>
      <c r="L3" s="821"/>
      <c r="M3" s="829" t="s">
        <v>1319</v>
      </c>
      <c r="N3" s="830"/>
      <c r="O3" s="829" t="s">
        <v>1320</v>
      </c>
      <c r="P3" s="830" t="s">
        <v>1217</v>
      </c>
      <c r="Q3" s="821" t="str">
        <f>"Темп роста к "&amp;2010&amp;", %"</f>
        <v>Темп роста к 2010, %</v>
      </c>
      <c r="R3" s="821"/>
      <c r="S3" s="821" t="str">
        <f>"Темп роста к "&amp;2009&amp;", %"</f>
        <v>Темп роста к 2009, %</v>
      </c>
      <c r="T3" s="823"/>
    </row>
    <row r="4" spans="1:20" ht="18" customHeight="1">
      <c r="A4" s="826"/>
      <c r="B4" s="822"/>
      <c r="C4" s="79"/>
      <c r="D4" s="828"/>
      <c r="E4" s="822"/>
      <c r="F4" s="822"/>
      <c r="G4" s="822"/>
      <c r="H4" s="822"/>
      <c r="I4" s="822"/>
      <c r="J4" s="822"/>
      <c r="K4" s="822"/>
      <c r="L4" s="822"/>
      <c r="M4" s="831"/>
      <c r="N4" s="832"/>
      <c r="O4" s="831"/>
      <c r="P4" s="832"/>
      <c r="Q4" s="822"/>
      <c r="R4" s="822"/>
      <c r="S4" s="822"/>
      <c r="T4" s="824"/>
    </row>
    <row r="5" spans="1:20" ht="62.25" customHeight="1">
      <c r="A5" s="826"/>
      <c r="B5" s="822"/>
      <c r="C5" s="79"/>
      <c r="D5" s="828"/>
      <c r="E5" s="79" t="s">
        <v>1301</v>
      </c>
      <c r="F5" s="79" t="s">
        <v>1302</v>
      </c>
      <c r="G5" s="79" t="s">
        <v>1218</v>
      </c>
      <c r="H5" s="79" t="s">
        <v>1219</v>
      </c>
      <c r="I5" s="79" t="s">
        <v>1301</v>
      </c>
      <c r="J5" s="79" t="s">
        <v>1302</v>
      </c>
      <c r="K5" s="79" t="s">
        <v>1220</v>
      </c>
      <c r="L5" s="79" t="s">
        <v>1221</v>
      </c>
      <c r="M5" s="238" t="s">
        <v>1222</v>
      </c>
      <c r="N5" s="238" t="s">
        <v>1223</v>
      </c>
      <c r="O5" s="238" t="s">
        <v>1222</v>
      </c>
      <c r="P5" s="238" t="s">
        <v>1223</v>
      </c>
      <c r="Q5" s="79" t="s">
        <v>148</v>
      </c>
      <c r="R5" s="79" t="s">
        <v>149</v>
      </c>
      <c r="S5" s="79" t="s">
        <v>148</v>
      </c>
      <c r="T5" s="80" t="s">
        <v>149</v>
      </c>
    </row>
    <row r="6" spans="1:20" ht="19.5" customHeight="1" hidden="1">
      <c r="A6" s="81"/>
      <c r="B6" s="82"/>
      <c r="C6" s="82"/>
      <c r="D6" s="83"/>
      <c r="E6" s="82" t="s">
        <v>82</v>
      </c>
      <c r="F6" s="82" t="s">
        <v>82</v>
      </c>
      <c r="G6" s="82"/>
      <c r="H6" s="82" t="s">
        <v>81</v>
      </c>
      <c r="I6" s="82" t="s">
        <v>82</v>
      </c>
      <c r="J6" s="82" t="s">
        <v>82</v>
      </c>
      <c r="K6" s="82"/>
      <c r="L6" s="82" t="s">
        <v>81</v>
      </c>
      <c r="M6" s="83" t="s">
        <v>82</v>
      </c>
      <c r="N6" s="83"/>
      <c r="O6" s="83"/>
      <c r="P6" s="83"/>
      <c r="Q6" s="82" t="s">
        <v>82</v>
      </c>
      <c r="R6" s="82" t="s">
        <v>81</v>
      </c>
      <c r="S6" s="82" t="s">
        <v>82</v>
      </c>
      <c r="T6" s="82" t="s">
        <v>81</v>
      </c>
    </row>
    <row r="7" spans="1:20" ht="19.5" customHeight="1" hidden="1">
      <c r="A7" s="81"/>
      <c r="B7" s="82"/>
      <c r="C7" s="82"/>
      <c r="D7" s="83"/>
      <c r="E7" s="82">
        <v>2006</v>
      </c>
      <c r="F7" s="82">
        <v>2007</v>
      </c>
      <c r="G7" s="82"/>
      <c r="H7" s="82">
        <v>2006</v>
      </c>
      <c r="I7" s="82">
        <v>2007</v>
      </c>
      <c r="J7" s="82">
        <v>2007</v>
      </c>
      <c r="K7" s="82"/>
      <c r="L7" s="82">
        <v>2007</v>
      </c>
      <c r="M7" s="83">
        <v>2008</v>
      </c>
      <c r="N7" s="83"/>
      <c r="O7" s="83"/>
      <c r="P7" s="83"/>
      <c r="Q7" s="82" t="s">
        <v>613</v>
      </c>
      <c r="R7" s="82" t="s">
        <v>613</v>
      </c>
      <c r="S7" s="82" t="s">
        <v>614</v>
      </c>
      <c r="T7" s="82" t="s">
        <v>614</v>
      </c>
    </row>
    <row r="8" spans="1:20" ht="12" thickBot="1">
      <c r="A8" s="81"/>
      <c r="B8" s="82"/>
      <c r="C8" s="82"/>
      <c r="D8" s="83"/>
      <c r="E8" s="82"/>
      <c r="F8" s="82"/>
      <c r="G8" s="82"/>
      <c r="H8" s="83"/>
      <c r="I8" s="82"/>
      <c r="J8" s="82"/>
      <c r="K8" s="82"/>
      <c r="L8" s="83"/>
      <c r="M8" s="82"/>
      <c r="N8" s="82"/>
      <c r="O8" s="82"/>
      <c r="P8" s="82"/>
      <c r="Q8" s="83"/>
      <c r="R8" s="82"/>
      <c r="S8" s="83"/>
      <c r="T8" s="84"/>
    </row>
    <row r="9" spans="1:20" ht="11.25">
      <c r="A9" s="85"/>
      <c r="B9" s="86" t="s">
        <v>151</v>
      </c>
      <c r="C9" s="86"/>
      <c r="D9" s="86"/>
      <c r="E9" s="87"/>
      <c r="F9" s="87"/>
      <c r="G9" s="87"/>
      <c r="H9" s="87"/>
      <c r="I9" s="87"/>
      <c r="J9" s="87"/>
      <c r="K9" s="87"/>
      <c r="L9" s="87"/>
      <c r="M9" s="347"/>
      <c r="N9" s="347"/>
      <c r="O9" s="347"/>
      <c r="P9" s="88"/>
      <c r="Q9" s="360"/>
      <c r="R9" s="87"/>
      <c r="S9" s="87"/>
      <c r="T9" s="88"/>
    </row>
    <row r="10" spans="1:20" ht="11.25" hidden="1">
      <c r="A10" s="89" t="s">
        <v>36</v>
      </c>
      <c r="B10" s="39" t="s">
        <v>152</v>
      </c>
      <c r="C10" s="219" t="s">
        <v>38</v>
      </c>
      <c r="D10" s="90" t="s">
        <v>127</v>
      </c>
      <c r="E10" s="91"/>
      <c r="F10" s="91"/>
      <c r="G10" s="91">
        <f>5!J11</f>
        <v>14.190000000000001</v>
      </c>
      <c r="H10" s="91"/>
      <c r="I10" s="91">
        <f>5!O11</f>
        <v>13.783</v>
      </c>
      <c r="J10" s="91"/>
      <c r="K10" s="91">
        <f>5!T11</f>
        <v>13.783</v>
      </c>
      <c r="L10" s="91"/>
      <c r="M10" s="348">
        <f>5!Y11</f>
        <v>15.396</v>
      </c>
      <c r="N10" s="348"/>
      <c r="O10" s="348"/>
      <c r="P10" s="92"/>
      <c r="Q10" s="361">
        <f aca="true" t="shared" si="0" ref="Q10:Q41">IF(I10=0,0,(M10/I10*100))</f>
        <v>111.70282231734747</v>
      </c>
      <c r="R10" s="91">
        <f>IF(L10=0,0,(M10/L10*100))</f>
        <v>0</v>
      </c>
      <c r="S10" s="91">
        <f aca="true" t="shared" si="1" ref="S10:S41">IF(E10=0,0,(M10/E10*100))</f>
        <v>0</v>
      </c>
      <c r="T10" s="92">
        <f aca="true" t="shared" si="2" ref="T10:T41">IF(H10=0,0,(M10/H10*100))</f>
        <v>0</v>
      </c>
    </row>
    <row r="11" spans="1:20" ht="11.25" hidden="1">
      <c r="A11" s="89" t="s">
        <v>69</v>
      </c>
      <c r="B11" s="93" t="s">
        <v>153</v>
      </c>
      <c r="C11" s="219" t="s">
        <v>71</v>
      </c>
      <c r="D11" s="90" t="s">
        <v>154</v>
      </c>
      <c r="E11" s="91"/>
      <c r="F11" s="91"/>
      <c r="G11" s="91">
        <f>5!J24</f>
        <v>34.897000000000006</v>
      </c>
      <c r="H11" s="91"/>
      <c r="I11" s="91">
        <f>5!O24</f>
        <v>34.324000000000005</v>
      </c>
      <c r="J11" s="91"/>
      <c r="K11" s="91">
        <f>5!T24</f>
        <v>34.324000000000005</v>
      </c>
      <c r="L11" s="91"/>
      <c r="M11" s="348">
        <f>5!Y24</f>
        <v>39.076</v>
      </c>
      <c r="N11" s="348"/>
      <c r="O11" s="348"/>
      <c r="P11" s="92"/>
      <c r="Q11" s="361">
        <f t="shared" si="0"/>
        <v>113.84454026337256</v>
      </c>
      <c r="R11" s="91">
        <f>IF(L11=0,0,(M11/L11*100))</f>
        <v>0</v>
      </c>
      <c r="S11" s="91">
        <f t="shared" si="1"/>
        <v>0</v>
      </c>
      <c r="T11" s="92">
        <f t="shared" si="2"/>
        <v>0</v>
      </c>
    </row>
    <row r="12" spans="1:20" ht="22.5" hidden="1">
      <c r="A12" s="89" t="s">
        <v>75</v>
      </c>
      <c r="B12" s="39" t="s">
        <v>155</v>
      </c>
      <c r="C12" s="219" t="s">
        <v>77</v>
      </c>
      <c r="D12" s="90" t="s">
        <v>154</v>
      </c>
      <c r="E12" s="91"/>
      <c r="F12" s="91"/>
      <c r="G12" s="91">
        <f>5!J25</f>
        <v>12.395</v>
      </c>
      <c r="H12" s="91"/>
      <c r="I12" s="91">
        <f>5!O25</f>
        <v>12.104</v>
      </c>
      <c r="J12" s="91"/>
      <c r="K12" s="91">
        <f>5!T25</f>
        <v>12.104</v>
      </c>
      <c r="L12" s="91"/>
      <c r="M12" s="348">
        <f>5!Y25</f>
        <v>13.546</v>
      </c>
      <c r="N12" s="348"/>
      <c r="O12" s="348"/>
      <c r="P12" s="92"/>
      <c r="Q12" s="361">
        <f t="shared" si="0"/>
        <v>111.91341705221414</v>
      </c>
      <c r="R12" s="91">
        <f>IF(L12=0,0,(M12/L12*100))</f>
        <v>0</v>
      </c>
      <c r="S12" s="91">
        <f t="shared" si="1"/>
        <v>0</v>
      </c>
      <c r="T12" s="92">
        <f t="shared" si="2"/>
        <v>0</v>
      </c>
    </row>
    <row r="13" spans="1:20" ht="22.5">
      <c r="A13" s="94" t="s">
        <v>78</v>
      </c>
      <c r="B13" s="95" t="s">
        <v>156</v>
      </c>
      <c r="C13" s="219" t="s">
        <v>80</v>
      </c>
      <c r="D13" s="95" t="s">
        <v>157</v>
      </c>
      <c r="E13" s="96">
        <f aca="true" t="shared" si="3" ref="E13:P13">E14+E17+E20+E27+E28+E29+E30</f>
        <v>41122.58767620086</v>
      </c>
      <c r="F13" s="96">
        <f t="shared" si="3"/>
        <v>0</v>
      </c>
      <c r="G13" s="96">
        <f t="shared" si="3"/>
        <v>45059.15074035705</v>
      </c>
      <c r="H13" s="96">
        <f t="shared" si="3"/>
        <v>0</v>
      </c>
      <c r="I13" s="96">
        <f t="shared" si="3"/>
        <v>43697.217402405484</v>
      </c>
      <c r="J13" s="96">
        <f t="shared" si="3"/>
        <v>0</v>
      </c>
      <c r="K13" s="96">
        <f t="shared" si="3"/>
        <v>49116.869315951146</v>
      </c>
      <c r="L13" s="96">
        <f t="shared" si="3"/>
        <v>2739.2430615831745</v>
      </c>
      <c r="M13" s="349">
        <f t="shared" si="3"/>
        <v>53796.718665172346</v>
      </c>
      <c r="N13" s="349">
        <f t="shared" si="3"/>
        <v>0</v>
      </c>
      <c r="O13" s="349">
        <f t="shared" si="3"/>
        <v>0</v>
      </c>
      <c r="P13" s="349">
        <f t="shared" si="3"/>
        <v>3334.121317286632</v>
      </c>
      <c r="Q13" s="361">
        <f t="shared" si="0"/>
        <v>123.11245855716865</v>
      </c>
      <c r="R13" s="91">
        <f>IF(L13=0,0,(M13/L13*100))</f>
        <v>1963.9264371844376</v>
      </c>
      <c r="S13" s="91">
        <f t="shared" si="1"/>
        <v>130.82036346731763</v>
      </c>
      <c r="T13" s="92">
        <f t="shared" si="2"/>
        <v>0</v>
      </c>
    </row>
    <row r="14" spans="1:20" ht="11.25">
      <c r="A14" s="89" t="s">
        <v>105</v>
      </c>
      <c r="B14" s="90" t="s">
        <v>158</v>
      </c>
      <c r="C14" s="219" t="s">
        <v>107</v>
      </c>
      <c r="D14" s="90" t="s">
        <v>157</v>
      </c>
      <c r="E14" s="91">
        <f aca="true" t="shared" si="4" ref="E14:P14">E15+E16</f>
        <v>2297.485</v>
      </c>
      <c r="F14" s="91">
        <f>F15+F16</f>
        <v>0</v>
      </c>
      <c r="G14" s="91">
        <f>G15+G16</f>
        <v>2239.67</v>
      </c>
      <c r="H14" s="91">
        <f t="shared" si="4"/>
        <v>0</v>
      </c>
      <c r="I14" s="91">
        <f t="shared" si="4"/>
        <v>2393.7999999999997</v>
      </c>
      <c r="J14" s="91">
        <f>J15+J16</f>
        <v>0</v>
      </c>
      <c r="K14" s="91">
        <f t="shared" si="4"/>
        <v>2476.7</v>
      </c>
      <c r="L14" s="91">
        <f t="shared" si="4"/>
        <v>0</v>
      </c>
      <c r="M14" s="348">
        <f t="shared" si="4"/>
        <v>2593.103</v>
      </c>
      <c r="N14" s="348">
        <f>N15+N16</f>
        <v>0</v>
      </c>
      <c r="O14" s="348">
        <f>O15+O16</f>
        <v>0</v>
      </c>
      <c r="P14" s="348">
        <f t="shared" si="4"/>
        <v>0</v>
      </c>
      <c r="Q14" s="361">
        <f t="shared" si="0"/>
        <v>108.32579998329017</v>
      </c>
      <c r="R14" s="91">
        <f aca="true" t="shared" si="5" ref="R14:R68">IF(L14=0,0,(M14/L14*100))</f>
        <v>0</v>
      </c>
      <c r="S14" s="91">
        <f t="shared" si="1"/>
        <v>112.86702633531884</v>
      </c>
      <c r="T14" s="92">
        <f t="shared" si="2"/>
        <v>0</v>
      </c>
    </row>
    <row r="15" spans="1:20" ht="11.25">
      <c r="A15" s="89" t="s">
        <v>159</v>
      </c>
      <c r="B15" s="90" t="s">
        <v>160</v>
      </c>
      <c r="C15" s="219" t="s">
        <v>110</v>
      </c>
      <c r="D15" s="90" t="s">
        <v>157</v>
      </c>
      <c r="E15" s="393">
        <v>1738.24</v>
      </c>
      <c r="F15" s="393"/>
      <c r="G15" s="393">
        <v>1817.678</v>
      </c>
      <c r="H15" s="393"/>
      <c r="I15" s="393">
        <v>1811.12</v>
      </c>
      <c r="J15" s="393"/>
      <c r="K15" s="393">
        <v>1894.02</v>
      </c>
      <c r="L15" s="393"/>
      <c r="M15" s="394">
        <v>1983.038</v>
      </c>
      <c r="N15" s="394"/>
      <c r="O15" s="394"/>
      <c r="P15" s="467"/>
      <c r="Q15" s="361">
        <f t="shared" si="0"/>
        <v>109.49235831971377</v>
      </c>
      <c r="R15" s="91">
        <f t="shared" si="5"/>
        <v>0</v>
      </c>
      <c r="S15" s="91">
        <f t="shared" si="1"/>
        <v>114.083095544919</v>
      </c>
      <c r="T15" s="92">
        <f t="shared" si="2"/>
        <v>0</v>
      </c>
    </row>
    <row r="16" spans="1:20" ht="11.25">
      <c r="A16" s="89" t="s">
        <v>161</v>
      </c>
      <c r="B16" s="90" t="s">
        <v>162</v>
      </c>
      <c r="C16" s="219" t="s">
        <v>112</v>
      </c>
      <c r="D16" s="90" t="s">
        <v>157</v>
      </c>
      <c r="E16" s="393">
        <v>559.245</v>
      </c>
      <c r="F16" s="393"/>
      <c r="G16" s="393">
        <v>421.992</v>
      </c>
      <c r="H16" s="393"/>
      <c r="I16" s="393">
        <v>582.68</v>
      </c>
      <c r="J16" s="393"/>
      <c r="K16" s="393">
        <v>582.68</v>
      </c>
      <c r="L16" s="393"/>
      <c r="M16" s="394">
        <v>610.065</v>
      </c>
      <c r="N16" s="394"/>
      <c r="O16" s="394"/>
      <c r="P16" s="467"/>
      <c r="Q16" s="361">
        <f t="shared" si="0"/>
        <v>104.69983524404478</v>
      </c>
      <c r="R16" s="91">
        <f t="shared" si="5"/>
        <v>0</v>
      </c>
      <c r="S16" s="91">
        <f t="shared" si="1"/>
        <v>109.08725156237429</v>
      </c>
      <c r="T16" s="92">
        <f t="shared" si="2"/>
        <v>0</v>
      </c>
    </row>
    <row r="17" spans="1:20" ht="11.25">
      <c r="A17" s="89" t="s">
        <v>113</v>
      </c>
      <c r="B17" s="90" t="s">
        <v>163</v>
      </c>
      <c r="C17" s="219" t="s">
        <v>115</v>
      </c>
      <c r="D17" s="90" t="s">
        <v>157</v>
      </c>
      <c r="E17" s="91">
        <f aca="true" t="shared" si="6" ref="E17:P17">E18+E19</f>
        <v>1327.284</v>
      </c>
      <c r="F17" s="91">
        <f>F18+F19</f>
        <v>0</v>
      </c>
      <c r="G17" s="91">
        <f t="shared" si="6"/>
        <v>1264.885</v>
      </c>
      <c r="H17" s="91">
        <f t="shared" si="6"/>
        <v>0</v>
      </c>
      <c r="I17" s="91">
        <f>I18+I19</f>
        <v>1387.36</v>
      </c>
      <c r="J17" s="91">
        <f>J18+J19</f>
        <v>0</v>
      </c>
      <c r="K17" s="91">
        <f>K18+K19</f>
        <v>1387.36</v>
      </c>
      <c r="L17" s="91">
        <f t="shared" si="6"/>
        <v>0</v>
      </c>
      <c r="M17" s="348">
        <f t="shared" si="6"/>
        <v>1457.538</v>
      </c>
      <c r="N17" s="348">
        <f t="shared" si="6"/>
        <v>0</v>
      </c>
      <c r="O17" s="348">
        <f t="shared" si="6"/>
        <v>0</v>
      </c>
      <c r="P17" s="348">
        <f t="shared" si="6"/>
        <v>0</v>
      </c>
      <c r="Q17" s="361">
        <f t="shared" si="0"/>
        <v>105.05838426940377</v>
      </c>
      <c r="R17" s="91">
        <f t="shared" si="5"/>
        <v>0</v>
      </c>
      <c r="S17" s="91">
        <f t="shared" si="1"/>
        <v>109.81357418608223</v>
      </c>
      <c r="T17" s="92">
        <f t="shared" si="2"/>
        <v>0</v>
      </c>
    </row>
    <row r="18" spans="1:20" ht="11.25">
      <c r="A18" s="89" t="s">
        <v>164</v>
      </c>
      <c r="B18" s="90" t="s">
        <v>165</v>
      </c>
      <c r="C18" s="219" t="s">
        <v>699</v>
      </c>
      <c r="D18" s="90" t="s">
        <v>157</v>
      </c>
      <c r="E18" s="395">
        <v>1063.2</v>
      </c>
      <c r="F18" s="395"/>
      <c r="G18" s="395">
        <v>1130.657</v>
      </c>
      <c r="H18" s="395"/>
      <c r="I18" s="395">
        <v>1137.62</v>
      </c>
      <c r="J18" s="395"/>
      <c r="K18" s="395">
        <v>1306.36</v>
      </c>
      <c r="L18" s="395"/>
      <c r="M18" s="396">
        <v>1371.678</v>
      </c>
      <c r="N18" s="396"/>
      <c r="O18" s="396"/>
      <c r="P18" s="468"/>
      <c r="Q18" s="361">
        <f t="shared" si="0"/>
        <v>120.57435699091089</v>
      </c>
      <c r="R18" s="91">
        <f t="shared" si="5"/>
        <v>0</v>
      </c>
      <c r="S18" s="91">
        <f t="shared" si="1"/>
        <v>129.0141083521445</v>
      </c>
      <c r="T18" s="92">
        <f t="shared" si="2"/>
        <v>0</v>
      </c>
    </row>
    <row r="19" spans="1:20" ht="11.25">
      <c r="A19" s="89" t="s">
        <v>166</v>
      </c>
      <c r="B19" s="90" t="s">
        <v>167</v>
      </c>
      <c r="C19" s="219" t="s">
        <v>700</v>
      </c>
      <c r="D19" s="90" t="s">
        <v>157</v>
      </c>
      <c r="E19" s="395">
        <v>264.084</v>
      </c>
      <c r="F19" s="395"/>
      <c r="G19" s="395">
        <v>134.228</v>
      </c>
      <c r="H19" s="395"/>
      <c r="I19" s="395">
        <v>249.74</v>
      </c>
      <c r="J19" s="395"/>
      <c r="K19" s="395">
        <v>81</v>
      </c>
      <c r="L19" s="395"/>
      <c r="M19" s="396">
        <v>85.86</v>
      </c>
      <c r="N19" s="396"/>
      <c r="O19" s="396"/>
      <c r="P19" s="468"/>
      <c r="Q19" s="361">
        <f t="shared" si="0"/>
        <v>34.37975494514295</v>
      </c>
      <c r="R19" s="91">
        <f t="shared" si="5"/>
        <v>0</v>
      </c>
      <c r="S19" s="91">
        <f t="shared" si="1"/>
        <v>32.512382423774255</v>
      </c>
      <c r="T19" s="92">
        <f t="shared" si="2"/>
        <v>0</v>
      </c>
    </row>
    <row r="20" spans="1:20" ht="16.5" customHeight="1">
      <c r="A20" s="89" t="s">
        <v>116</v>
      </c>
      <c r="B20" s="90" t="s">
        <v>168</v>
      </c>
      <c r="C20" s="219" t="s">
        <v>118</v>
      </c>
      <c r="D20" s="90" t="s">
        <v>157</v>
      </c>
      <c r="E20" s="131">
        <v>1518.57</v>
      </c>
      <c r="F20" s="131"/>
      <c r="G20" s="131">
        <f>'17'!F83</f>
        <v>1730.5509826674</v>
      </c>
      <c r="H20" s="131"/>
      <c r="I20" s="131">
        <v>2104.38</v>
      </c>
      <c r="J20" s="131"/>
      <c r="K20" s="131">
        <f>'17'!H83</f>
        <v>2739.2430615831745</v>
      </c>
      <c r="L20" s="131">
        <f>'17'!H83</f>
        <v>2739.2430615831745</v>
      </c>
      <c r="M20" s="350">
        <f>'17'!I83</f>
        <v>3334.121317286632</v>
      </c>
      <c r="N20" s="350"/>
      <c r="O20" s="350"/>
      <c r="P20" s="469">
        <f>M20</f>
        <v>3334.121317286632</v>
      </c>
      <c r="Q20" s="361">
        <f t="shared" si="0"/>
        <v>158.4372269878364</v>
      </c>
      <c r="R20" s="91">
        <f t="shared" si="5"/>
        <v>121.71688464037365</v>
      </c>
      <c r="S20" s="91">
        <f t="shared" si="1"/>
        <v>219.55664324243412</v>
      </c>
      <c r="T20" s="92">
        <f t="shared" si="2"/>
        <v>0</v>
      </c>
    </row>
    <row r="21" spans="1:20" ht="16.5" customHeight="1">
      <c r="A21" s="89"/>
      <c r="B21" s="90" t="s">
        <v>169</v>
      </c>
      <c r="C21" s="219" t="s">
        <v>701</v>
      </c>
      <c r="D21" s="90" t="s">
        <v>157</v>
      </c>
      <c r="E21" s="98">
        <f aca="true" t="shared" si="7" ref="E21:N21">E20-E22</f>
        <v>976.28</v>
      </c>
      <c r="F21" s="98">
        <f>F20-F22</f>
        <v>0</v>
      </c>
      <c r="G21" s="98">
        <f t="shared" si="7"/>
        <v>1197.9409826674</v>
      </c>
      <c r="H21" s="98">
        <f t="shared" si="7"/>
        <v>0</v>
      </c>
      <c r="I21" s="98">
        <f t="shared" si="7"/>
        <v>1150.8600000000001</v>
      </c>
      <c r="J21" s="98">
        <f>J20-J22</f>
        <v>0</v>
      </c>
      <c r="K21" s="98">
        <f t="shared" si="7"/>
        <v>2206.6330615831744</v>
      </c>
      <c r="L21" s="98">
        <f t="shared" si="7"/>
        <v>2739.2430615831745</v>
      </c>
      <c r="M21" s="351">
        <f t="shared" si="7"/>
        <v>2763.407317286632</v>
      </c>
      <c r="N21" s="351">
        <f t="shared" si="7"/>
        <v>0</v>
      </c>
      <c r="O21" s="470"/>
      <c r="P21" s="470"/>
      <c r="Q21" s="361">
        <f t="shared" si="0"/>
        <v>240.1167229104002</v>
      </c>
      <c r="R21" s="91">
        <f t="shared" si="5"/>
        <v>100.88215084095135</v>
      </c>
      <c r="S21" s="91">
        <f t="shared" si="1"/>
        <v>283.0547913802016</v>
      </c>
      <c r="T21" s="92">
        <f t="shared" si="2"/>
        <v>0</v>
      </c>
    </row>
    <row r="22" spans="1:20" ht="16.5" customHeight="1">
      <c r="A22" s="89"/>
      <c r="B22" s="90" t="s">
        <v>170</v>
      </c>
      <c r="C22" s="219" t="s">
        <v>702</v>
      </c>
      <c r="D22" s="90" t="s">
        <v>157</v>
      </c>
      <c r="E22" s="98">
        <f aca="true" t="shared" si="8" ref="E22:N22">SUM(E23:E26)</f>
        <v>542.29</v>
      </c>
      <c r="F22" s="98">
        <f>SUM(F23:F26)</f>
        <v>0</v>
      </c>
      <c r="G22" s="98">
        <f t="shared" si="8"/>
        <v>532.61</v>
      </c>
      <c r="H22" s="98">
        <f t="shared" si="8"/>
        <v>0</v>
      </c>
      <c r="I22" s="98">
        <f t="shared" si="8"/>
        <v>953.52</v>
      </c>
      <c r="J22" s="98">
        <f>SUM(J23:J26)</f>
        <v>0</v>
      </c>
      <c r="K22" s="98">
        <f t="shared" si="8"/>
        <v>532.61</v>
      </c>
      <c r="L22" s="98">
        <f t="shared" si="8"/>
        <v>0</v>
      </c>
      <c r="M22" s="351">
        <f t="shared" si="8"/>
        <v>570.714</v>
      </c>
      <c r="N22" s="351">
        <f t="shared" si="8"/>
        <v>0</v>
      </c>
      <c r="O22" s="470"/>
      <c r="P22" s="470"/>
      <c r="Q22" s="361">
        <f t="shared" si="0"/>
        <v>59.85338535112007</v>
      </c>
      <c r="R22" s="91">
        <f t="shared" si="5"/>
        <v>0</v>
      </c>
      <c r="S22" s="91">
        <f t="shared" si="1"/>
        <v>105.24147596304563</v>
      </c>
      <c r="T22" s="92">
        <f t="shared" si="2"/>
        <v>0</v>
      </c>
    </row>
    <row r="23" spans="1:20" ht="11.25">
      <c r="A23" s="89"/>
      <c r="B23" s="99" t="s">
        <v>28</v>
      </c>
      <c r="C23" s="219" t="s">
        <v>706</v>
      </c>
      <c r="D23" s="90" t="s">
        <v>157</v>
      </c>
      <c r="E23" s="395"/>
      <c r="F23" s="395"/>
      <c r="G23" s="395"/>
      <c r="H23" s="395"/>
      <c r="I23" s="395"/>
      <c r="J23" s="395"/>
      <c r="K23" s="395"/>
      <c r="L23" s="395"/>
      <c r="M23" s="350">
        <f>'17.1'!I24</f>
        <v>0</v>
      </c>
      <c r="N23" s="350"/>
      <c r="O23" s="350"/>
      <c r="P23" s="469"/>
      <c r="Q23" s="361">
        <f t="shared" si="0"/>
        <v>0</v>
      </c>
      <c r="R23" s="91">
        <f t="shared" si="5"/>
        <v>0</v>
      </c>
      <c r="S23" s="91">
        <f t="shared" si="1"/>
        <v>0</v>
      </c>
      <c r="T23" s="92">
        <f t="shared" si="2"/>
        <v>0</v>
      </c>
    </row>
    <row r="24" spans="1:20" ht="11.25">
      <c r="A24" s="89"/>
      <c r="B24" s="99" t="s">
        <v>29</v>
      </c>
      <c r="C24" s="219" t="s">
        <v>707</v>
      </c>
      <c r="D24" s="90" t="s">
        <v>157</v>
      </c>
      <c r="E24" s="395">
        <v>1.25</v>
      </c>
      <c r="F24" s="395"/>
      <c r="G24" s="395">
        <v>11.28</v>
      </c>
      <c r="H24" s="395"/>
      <c r="I24" s="395"/>
      <c r="J24" s="395"/>
      <c r="K24" s="395">
        <v>11.28</v>
      </c>
      <c r="L24" s="395"/>
      <c r="M24" s="350">
        <f>'17.1'!I25</f>
        <v>11.276</v>
      </c>
      <c r="N24" s="350"/>
      <c r="O24" s="350"/>
      <c r="P24" s="469"/>
      <c r="Q24" s="361">
        <f t="shared" si="0"/>
        <v>0</v>
      </c>
      <c r="R24" s="91">
        <f t="shared" si="5"/>
        <v>0</v>
      </c>
      <c r="S24" s="91">
        <f t="shared" si="1"/>
        <v>902.0799999999999</v>
      </c>
      <c r="T24" s="92">
        <f t="shared" si="2"/>
        <v>0</v>
      </c>
    </row>
    <row r="25" spans="1:20" ht="11.25">
      <c r="A25" s="89"/>
      <c r="B25" s="99" t="s">
        <v>30</v>
      </c>
      <c r="C25" s="219" t="s">
        <v>708</v>
      </c>
      <c r="D25" s="90" t="s">
        <v>157</v>
      </c>
      <c r="E25" s="395">
        <v>467.48</v>
      </c>
      <c r="F25" s="395"/>
      <c r="G25" s="395">
        <v>440.5</v>
      </c>
      <c r="H25" s="395"/>
      <c r="I25" s="395">
        <v>474.13</v>
      </c>
      <c r="J25" s="395"/>
      <c r="K25" s="395">
        <v>440.5</v>
      </c>
      <c r="L25" s="395"/>
      <c r="M25" s="350">
        <f>'17.1'!I26</f>
        <v>478.608</v>
      </c>
      <c r="N25" s="350"/>
      <c r="O25" s="350"/>
      <c r="P25" s="469"/>
      <c r="Q25" s="361">
        <f t="shared" si="0"/>
        <v>100.9444667074431</v>
      </c>
      <c r="R25" s="91">
        <f t="shared" si="5"/>
        <v>0</v>
      </c>
      <c r="S25" s="91">
        <f t="shared" si="1"/>
        <v>102.38042269187986</v>
      </c>
      <c r="T25" s="92">
        <f t="shared" si="2"/>
        <v>0</v>
      </c>
    </row>
    <row r="26" spans="1:20" ht="11.25">
      <c r="A26" s="89"/>
      <c r="B26" s="99" t="s">
        <v>31</v>
      </c>
      <c r="C26" s="219" t="s">
        <v>709</v>
      </c>
      <c r="D26" s="90" t="s">
        <v>157</v>
      </c>
      <c r="E26" s="395">
        <v>73.56</v>
      </c>
      <c r="F26" s="395"/>
      <c r="G26" s="395">
        <v>80.83</v>
      </c>
      <c r="H26" s="395"/>
      <c r="I26" s="395">
        <v>479.39</v>
      </c>
      <c r="J26" s="395"/>
      <c r="K26" s="395">
        <v>80.83</v>
      </c>
      <c r="L26" s="395"/>
      <c r="M26" s="350">
        <f>'17.1'!I27</f>
        <v>80.83</v>
      </c>
      <c r="N26" s="350"/>
      <c r="O26" s="350"/>
      <c r="P26" s="469"/>
      <c r="Q26" s="361">
        <f t="shared" si="0"/>
        <v>16.861010867978056</v>
      </c>
      <c r="R26" s="91">
        <f t="shared" si="5"/>
        <v>0</v>
      </c>
      <c r="S26" s="91">
        <f t="shared" si="1"/>
        <v>109.88308863512779</v>
      </c>
      <c r="T26" s="92">
        <f t="shared" si="2"/>
        <v>0</v>
      </c>
    </row>
    <row r="27" spans="1:20" ht="15" customHeight="1">
      <c r="A27" s="89" t="s">
        <v>171</v>
      </c>
      <c r="B27" s="90" t="s">
        <v>172</v>
      </c>
      <c r="C27" s="219" t="s">
        <v>121</v>
      </c>
      <c r="D27" s="90" t="s">
        <v>157</v>
      </c>
      <c r="E27" s="131">
        <f>'16'!E51</f>
        <v>14902.324676200862</v>
      </c>
      <c r="F27" s="131"/>
      <c r="G27" s="131">
        <f>'16'!F51+'16'!F58</f>
        <v>25446.297757689652</v>
      </c>
      <c r="H27" s="131">
        <f>'16'!G51</f>
        <v>0</v>
      </c>
      <c r="I27" s="131">
        <f>'16'!H51</f>
        <v>15527.147402405486</v>
      </c>
      <c r="J27" s="131"/>
      <c r="K27" s="131">
        <f>'16'!I51+'16'!I58</f>
        <v>27364.53425436798</v>
      </c>
      <c r="L27" s="131">
        <f>'16'!J51</f>
        <v>0</v>
      </c>
      <c r="M27" s="350">
        <f>'16'!K51+'16'!K58</f>
        <v>29435.60734788571</v>
      </c>
      <c r="N27" s="350">
        <f>'16'!L51</f>
        <v>0</v>
      </c>
      <c r="O27" s="350">
        <f>'16'!M51</f>
        <v>0</v>
      </c>
      <c r="P27" s="350">
        <f>'16'!N51</f>
        <v>0</v>
      </c>
      <c r="Q27" s="361">
        <f t="shared" si="0"/>
        <v>189.5751137348352</v>
      </c>
      <c r="R27" s="91">
        <f t="shared" si="5"/>
        <v>0</v>
      </c>
      <c r="S27" s="91">
        <f t="shared" si="1"/>
        <v>197.5235943885629</v>
      </c>
      <c r="T27" s="92">
        <f t="shared" si="2"/>
        <v>0</v>
      </c>
    </row>
    <row r="28" spans="1:20" ht="11.25">
      <c r="A28" s="89" t="s">
        <v>173</v>
      </c>
      <c r="B28" s="90" t="s">
        <v>174</v>
      </c>
      <c r="C28" s="219" t="s">
        <v>703</v>
      </c>
      <c r="D28" s="90" t="s">
        <v>157</v>
      </c>
      <c r="E28" s="395">
        <v>4530.31</v>
      </c>
      <c r="F28" s="395"/>
      <c r="G28" s="395">
        <v>7134.73</v>
      </c>
      <c r="H28" s="395"/>
      <c r="I28" s="395">
        <v>4720.24</v>
      </c>
      <c r="J28" s="395"/>
      <c r="K28" s="395">
        <v>8318.817</v>
      </c>
      <c r="L28" s="395"/>
      <c r="M28" s="396">
        <v>8948.43</v>
      </c>
      <c r="N28" s="396"/>
      <c r="O28" s="396"/>
      <c r="P28" s="468"/>
      <c r="Q28" s="361">
        <f t="shared" si="0"/>
        <v>189.57574191142825</v>
      </c>
      <c r="R28" s="91">
        <f t="shared" si="5"/>
        <v>0</v>
      </c>
      <c r="S28" s="91">
        <f t="shared" si="1"/>
        <v>197.5235690272851</v>
      </c>
      <c r="T28" s="92">
        <f t="shared" si="2"/>
        <v>0</v>
      </c>
    </row>
    <row r="29" spans="1:20" ht="11.25">
      <c r="A29" s="89" t="s">
        <v>175</v>
      </c>
      <c r="B29" s="100" t="s">
        <v>176</v>
      </c>
      <c r="C29" s="219" t="s">
        <v>704</v>
      </c>
      <c r="D29" s="90" t="s">
        <v>157</v>
      </c>
      <c r="E29" s="395">
        <v>2284.32</v>
      </c>
      <c r="F29" s="395"/>
      <c r="G29" s="395">
        <f>990+499.642+1396.589</f>
        <v>2886.2309999999998</v>
      </c>
      <c r="H29" s="395"/>
      <c r="I29" s="395">
        <v>2380.09</v>
      </c>
      <c r="J29" s="395"/>
      <c r="K29" s="395">
        <v>2380.09</v>
      </c>
      <c r="L29" s="395"/>
      <c r="M29" s="396">
        <v>3404.81</v>
      </c>
      <c r="N29" s="396"/>
      <c r="O29" s="396"/>
      <c r="P29" s="468"/>
      <c r="Q29" s="361">
        <f t="shared" si="0"/>
        <v>143.05383409871055</v>
      </c>
      <c r="R29" s="91">
        <f t="shared" si="5"/>
        <v>0</v>
      </c>
      <c r="S29" s="91">
        <f t="shared" si="1"/>
        <v>149.0513588288856</v>
      </c>
      <c r="T29" s="92">
        <f t="shared" si="2"/>
        <v>0</v>
      </c>
    </row>
    <row r="30" spans="1:20" ht="11.25">
      <c r="A30" s="89" t="s">
        <v>177</v>
      </c>
      <c r="B30" s="90" t="s">
        <v>178</v>
      </c>
      <c r="C30" s="219" t="s">
        <v>697</v>
      </c>
      <c r="D30" s="90" t="s">
        <v>157</v>
      </c>
      <c r="E30" s="91">
        <f aca="true" t="shared" si="9" ref="E30:P30">E31+E36+E37+E41</f>
        <v>14262.293999999998</v>
      </c>
      <c r="F30" s="91">
        <f>F31+F36+F37+F41</f>
        <v>0</v>
      </c>
      <c r="G30" s="91">
        <f>G31+G36+G37+G41</f>
        <v>4356.786</v>
      </c>
      <c r="H30" s="91">
        <f t="shared" si="9"/>
        <v>0</v>
      </c>
      <c r="I30" s="91">
        <f t="shared" si="9"/>
        <v>15184.199999999999</v>
      </c>
      <c r="J30" s="91">
        <f>J31+J36+J37+J41</f>
        <v>0</v>
      </c>
      <c r="K30" s="91">
        <f>K31+K36+K37+K41</f>
        <v>4450.125</v>
      </c>
      <c r="L30" s="91">
        <f t="shared" si="9"/>
        <v>0</v>
      </c>
      <c r="M30" s="348">
        <f t="shared" si="9"/>
        <v>4623.109</v>
      </c>
      <c r="N30" s="348">
        <f>N31+N36+N37+N41</f>
        <v>0</v>
      </c>
      <c r="O30" s="348">
        <f>O31+O36+O37+O41</f>
        <v>0</v>
      </c>
      <c r="P30" s="348">
        <f t="shared" si="9"/>
        <v>0</v>
      </c>
      <c r="Q30" s="361">
        <f t="shared" si="0"/>
        <v>30.446839477878324</v>
      </c>
      <c r="R30" s="91">
        <f t="shared" si="5"/>
        <v>0</v>
      </c>
      <c r="S30" s="91">
        <f t="shared" si="1"/>
        <v>32.41490464296978</v>
      </c>
      <c r="T30" s="92">
        <f t="shared" si="2"/>
        <v>0</v>
      </c>
    </row>
    <row r="31" spans="1:20" ht="17.25" customHeight="1">
      <c r="A31" s="89" t="s">
        <v>179</v>
      </c>
      <c r="B31" s="90" t="s">
        <v>180</v>
      </c>
      <c r="C31" s="219" t="s">
        <v>705</v>
      </c>
      <c r="D31" s="90" t="s">
        <v>157</v>
      </c>
      <c r="E31" s="91">
        <f aca="true" t="shared" si="10" ref="E31:P31">SUM(E32:E35)</f>
        <v>0</v>
      </c>
      <c r="F31" s="91">
        <f>SUM(F32:F35)</f>
        <v>0</v>
      </c>
      <c r="G31" s="91">
        <f>SUM(G32:G35)</f>
        <v>0</v>
      </c>
      <c r="H31" s="91">
        <f t="shared" si="10"/>
        <v>0</v>
      </c>
      <c r="I31" s="91">
        <f t="shared" si="10"/>
        <v>0</v>
      </c>
      <c r="J31" s="91">
        <f>SUM(J32:J35)</f>
        <v>0</v>
      </c>
      <c r="K31" s="91">
        <f>SUM(K32:K35)</f>
        <v>0</v>
      </c>
      <c r="L31" s="91">
        <f t="shared" si="10"/>
        <v>0</v>
      </c>
      <c r="M31" s="348">
        <f t="shared" si="10"/>
        <v>0</v>
      </c>
      <c r="N31" s="348">
        <f>SUM(N32:N35)</f>
        <v>0</v>
      </c>
      <c r="O31" s="348">
        <f>SUM(O32:O35)</f>
        <v>0</v>
      </c>
      <c r="P31" s="348">
        <f t="shared" si="10"/>
        <v>0</v>
      </c>
      <c r="Q31" s="361">
        <f t="shared" si="0"/>
        <v>0</v>
      </c>
      <c r="R31" s="91">
        <f t="shared" si="5"/>
        <v>0</v>
      </c>
      <c r="S31" s="91">
        <f t="shared" si="1"/>
        <v>0</v>
      </c>
      <c r="T31" s="92">
        <f t="shared" si="2"/>
        <v>0</v>
      </c>
    </row>
    <row r="32" spans="1:20" ht="11.25">
      <c r="A32" s="89"/>
      <c r="B32" s="99" t="s">
        <v>28</v>
      </c>
      <c r="C32" s="219" t="s">
        <v>710</v>
      </c>
      <c r="D32" s="90" t="s">
        <v>157</v>
      </c>
      <c r="E32" s="395"/>
      <c r="F32" s="395"/>
      <c r="G32" s="395"/>
      <c r="H32" s="395"/>
      <c r="I32" s="395"/>
      <c r="J32" s="395"/>
      <c r="K32" s="395"/>
      <c r="L32" s="395"/>
      <c r="M32" s="396"/>
      <c r="N32" s="396"/>
      <c r="O32" s="396"/>
      <c r="P32" s="468"/>
      <c r="Q32" s="361">
        <f t="shared" si="0"/>
        <v>0</v>
      </c>
      <c r="R32" s="91">
        <f t="shared" si="5"/>
        <v>0</v>
      </c>
      <c r="S32" s="91">
        <f t="shared" si="1"/>
        <v>0</v>
      </c>
      <c r="T32" s="92">
        <f t="shared" si="2"/>
        <v>0</v>
      </c>
    </row>
    <row r="33" spans="1:20" ht="11.25">
      <c r="A33" s="89"/>
      <c r="B33" s="99" t="s">
        <v>29</v>
      </c>
      <c r="C33" s="219" t="s">
        <v>711</v>
      </c>
      <c r="D33" s="90" t="s">
        <v>157</v>
      </c>
      <c r="E33" s="395"/>
      <c r="F33" s="395"/>
      <c r="G33" s="395"/>
      <c r="H33" s="395"/>
      <c r="I33" s="395"/>
      <c r="J33" s="395"/>
      <c r="K33" s="395"/>
      <c r="L33" s="395"/>
      <c r="M33" s="396"/>
      <c r="N33" s="396"/>
      <c r="O33" s="396"/>
      <c r="P33" s="468"/>
      <c r="Q33" s="361">
        <f t="shared" si="0"/>
        <v>0</v>
      </c>
      <c r="R33" s="91">
        <f t="shared" si="5"/>
        <v>0</v>
      </c>
      <c r="S33" s="91">
        <f t="shared" si="1"/>
        <v>0</v>
      </c>
      <c r="T33" s="92">
        <f t="shared" si="2"/>
        <v>0</v>
      </c>
    </row>
    <row r="34" spans="1:20" ht="11.25">
      <c r="A34" s="89"/>
      <c r="B34" s="99" t="s">
        <v>30</v>
      </c>
      <c r="C34" s="219" t="s">
        <v>712</v>
      </c>
      <c r="D34" s="90" t="s">
        <v>157</v>
      </c>
      <c r="E34" s="395"/>
      <c r="F34" s="395"/>
      <c r="G34" s="395"/>
      <c r="H34" s="395"/>
      <c r="I34" s="395"/>
      <c r="J34" s="395"/>
      <c r="K34" s="395"/>
      <c r="L34" s="395"/>
      <c r="M34" s="396"/>
      <c r="N34" s="396"/>
      <c r="O34" s="396"/>
      <c r="P34" s="468"/>
      <c r="Q34" s="361">
        <f t="shared" si="0"/>
        <v>0</v>
      </c>
      <c r="R34" s="91">
        <f t="shared" si="5"/>
        <v>0</v>
      </c>
      <c r="S34" s="91">
        <f t="shared" si="1"/>
        <v>0</v>
      </c>
      <c r="T34" s="92">
        <f t="shared" si="2"/>
        <v>0</v>
      </c>
    </row>
    <row r="35" spans="1:20" ht="11.25">
      <c r="A35" s="89"/>
      <c r="B35" s="99" t="s">
        <v>31</v>
      </c>
      <c r="C35" s="219" t="s">
        <v>713</v>
      </c>
      <c r="D35" s="90" t="s">
        <v>157</v>
      </c>
      <c r="E35" s="395"/>
      <c r="F35" s="395"/>
      <c r="G35" s="395"/>
      <c r="H35" s="395"/>
      <c r="I35" s="395"/>
      <c r="J35" s="395"/>
      <c r="K35" s="395"/>
      <c r="L35" s="395"/>
      <c r="M35" s="396"/>
      <c r="N35" s="396"/>
      <c r="O35" s="396"/>
      <c r="P35" s="468"/>
      <c r="Q35" s="361">
        <f t="shared" si="0"/>
        <v>0</v>
      </c>
      <c r="R35" s="91">
        <f t="shared" si="5"/>
        <v>0</v>
      </c>
      <c r="S35" s="91">
        <f t="shared" si="1"/>
        <v>0</v>
      </c>
      <c r="T35" s="92">
        <f t="shared" si="2"/>
        <v>0</v>
      </c>
    </row>
    <row r="36" spans="1:20" ht="22.5">
      <c r="A36" s="89" t="s">
        <v>181</v>
      </c>
      <c r="B36" s="90" t="s">
        <v>182</v>
      </c>
      <c r="C36" s="219" t="s">
        <v>714</v>
      </c>
      <c r="D36" s="90" t="s">
        <v>157</v>
      </c>
      <c r="E36" s="395">
        <v>679.86</v>
      </c>
      <c r="F36" s="395"/>
      <c r="G36" s="395">
        <f>7.73+61.745+544.398</f>
        <v>613.873</v>
      </c>
      <c r="H36" s="395"/>
      <c r="I36" s="395">
        <v>708.36</v>
      </c>
      <c r="J36" s="395"/>
      <c r="K36" s="395">
        <v>708.36</v>
      </c>
      <c r="L36" s="395"/>
      <c r="M36" s="396">
        <v>741.65</v>
      </c>
      <c r="N36" s="396"/>
      <c r="O36" s="396"/>
      <c r="P36" s="468"/>
      <c r="Q36" s="361">
        <f t="shared" si="0"/>
        <v>104.69958778022475</v>
      </c>
      <c r="R36" s="91">
        <f t="shared" si="5"/>
        <v>0</v>
      </c>
      <c r="S36" s="91">
        <f t="shared" si="1"/>
        <v>109.08863589562556</v>
      </c>
      <c r="T36" s="92">
        <f t="shared" si="2"/>
        <v>0</v>
      </c>
    </row>
    <row r="37" spans="1:20" ht="11.25">
      <c r="A37" s="89" t="s">
        <v>183</v>
      </c>
      <c r="B37" s="90" t="s">
        <v>184</v>
      </c>
      <c r="C37" s="219" t="s">
        <v>715</v>
      </c>
      <c r="D37" s="90" t="s">
        <v>157</v>
      </c>
      <c r="E37" s="101">
        <f aca="true" t="shared" si="11" ref="E37:P37">SUM(E38:E40)</f>
        <v>494.71000000000004</v>
      </c>
      <c r="F37" s="101">
        <f>SUM(F38:F40)</f>
        <v>0</v>
      </c>
      <c r="G37" s="101">
        <f t="shared" si="11"/>
        <v>335.474</v>
      </c>
      <c r="H37" s="101">
        <f t="shared" si="11"/>
        <v>0</v>
      </c>
      <c r="I37" s="101">
        <f t="shared" si="11"/>
        <v>349.37</v>
      </c>
      <c r="J37" s="101">
        <f>SUM(J38:J40)</f>
        <v>0</v>
      </c>
      <c r="K37" s="101">
        <f t="shared" si="11"/>
        <v>335.487</v>
      </c>
      <c r="L37" s="101">
        <f t="shared" si="11"/>
        <v>0</v>
      </c>
      <c r="M37" s="352">
        <f t="shared" si="11"/>
        <v>335.769</v>
      </c>
      <c r="N37" s="352">
        <f t="shared" si="11"/>
        <v>0</v>
      </c>
      <c r="O37" s="352">
        <f t="shared" si="11"/>
        <v>0</v>
      </c>
      <c r="P37" s="352">
        <f t="shared" si="11"/>
        <v>0</v>
      </c>
      <c r="Q37" s="361">
        <f t="shared" si="0"/>
        <v>96.10699258665598</v>
      </c>
      <c r="R37" s="91">
        <f t="shared" si="5"/>
        <v>0</v>
      </c>
      <c r="S37" s="91">
        <f t="shared" si="1"/>
        <v>67.87188453841644</v>
      </c>
      <c r="T37" s="92">
        <f t="shared" si="2"/>
        <v>0</v>
      </c>
    </row>
    <row r="38" spans="1:20" ht="11.25">
      <c r="A38" s="102" t="s">
        <v>185</v>
      </c>
      <c r="B38" s="103" t="s">
        <v>186</v>
      </c>
      <c r="C38" s="219" t="s">
        <v>716</v>
      </c>
      <c r="D38" s="90" t="s">
        <v>157</v>
      </c>
      <c r="E38" s="392">
        <v>430.81</v>
      </c>
      <c r="F38" s="392"/>
      <c r="G38" s="392">
        <v>266.908</v>
      </c>
      <c r="H38" s="392"/>
      <c r="I38" s="392">
        <v>280.89</v>
      </c>
      <c r="J38" s="392"/>
      <c r="K38" s="392">
        <v>267.007</v>
      </c>
      <c r="L38" s="392"/>
      <c r="M38" s="397">
        <v>267.007</v>
      </c>
      <c r="N38" s="397"/>
      <c r="O38" s="397"/>
      <c r="P38" s="471"/>
      <c r="Q38" s="361">
        <f t="shared" si="0"/>
        <v>95.05749581686783</v>
      </c>
      <c r="R38" s="91">
        <f t="shared" si="5"/>
        <v>0</v>
      </c>
      <c r="S38" s="91">
        <f t="shared" si="1"/>
        <v>61.977902091409206</v>
      </c>
      <c r="T38" s="92">
        <f t="shared" si="2"/>
        <v>0</v>
      </c>
    </row>
    <row r="39" spans="1:20" ht="11.25">
      <c r="A39" s="102" t="s">
        <v>187</v>
      </c>
      <c r="B39" s="103" t="s">
        <v>188</v>
      </c>
      <c r="C39" s="219" t="s">
        <v>717</v>
      </c>
      <c r="D39" s="90" t="s">
        <v>157</v>
      </c>
      <c r="E39" s="392">
        <v>29.86</v>
      </c>
      <c r="F39" s="392"/>
      <c r="G39" s="392">
        <v>29.664</v>
      </c>
      <c r="H39" s="392"/>
      <c r="I39" s="392">
        <v>29.86</v>
      </c>
      <c r="J39" s="392"/>
      <c r="K39" s="392">
        <v>29.86</v>
      </c>
      <c r="L39" s="392"/>
      <c r="M39" s="397">
        <v>29.86</v>
      </c>
      <c r="N39" s="397"/>
      <c r="O39" s="397"/>
      <c r="P39" s="471"/>
      <c r="Q39" s="361">
        <f t="shared" si="0"/>
        <v>100</v>
      </c>
      <c r="R39" s="91">
        <f t="shared" si="5"/>
        <v>0</v>
      </c>
      <c r="S39" s="91">
        <f t="shared" si="1"/>
        <v>100</v>
      </c>
      <c r="T39" s="92">
        <f t="shared" si="2"/>
        <v>0</v>
      </c>
    </row>
    <row r="40" spans="1:20" ht="11.25">
      <c r="A40" s="102" t="s">
        <v>189</v>
      </c>
      <c r="B40" s="103" t="s">
        <v>190</v>
      </c>
      <c r="C40" s="219" t="s">
        <v>718</v>
      </c>
      <c r="D40" s="90" t="s">
        <v>157</v>
      </c>
      <c r="E40" s="392">
        <v>34.04</v>
      </c>
      <c r="F40" s="392"/>
      <c r="G40" s="392">
        <v>38.902</v>
      </c>
      <c r="H40" s="392"/>
      <c r="I40" s="392">
        <v>38.62</v>
      </c>
      <c r="J40" s="392"/>
      <c r="K40" s="392">
        <v>38.62</v>
      </c>
      <c r="L40" s="392"/>
      <c r="M40" s="397">
        <v>38.902</v>
      </c>
      <c r="N40" s="397"/>
      <c r="O40" s="397"/>
      <c r="P40" s="471"/>
      <c r="Q40" s="361">
        <f t="shared" si="0"/>
        <v>100.73019161056449</v>
      </c>
      <c r="R40" s="91">
        <f t="shared" si="5"/>
        <v>0</v>
      </c>
      <c r="S40" s="91">
        <f t="shared" si="1"/>
        <v>114.283196239718</v>
      </c>
      <c r="T40" s="92">
        <f t="shared" si="2"/>
        <v>0</v>
      </c>
    </row>
    <row r="41" spans="1:20" ht="26.25" customHeight="1">
      <c r="A41" s="89" t="s">
        <v>191</v>
      </c>
      <c r="B41" s="90" t="s">
        <v>192</v>
      </c>
      <c r="C41" s="219" t="s">
        <v>719</v>
      </c>
      <c r="D41" s="90" t="s">
        <v>157</v>
      </c>
      <c r="E41" s="91">
        <f aca="true" t="shared" si="12" ref="E41:P41">SUM(E42:E53)</f>
        <v>13087.723999999998</v>
      </c>
      <c r="F41" s="91">
        <f>SUM(F42:F53)</f>
        <v>0</v>
      </c>
      <c r="G41" s="91">
        <f t="shared" si="12"/>
        <v>3407.4390000000003</v>
      </c>
      <c r="H41" s="91">
        <f t="shared" si="12"/>
        <v>0</v>
      </c>
      <c r="I41" s="91">
        <f t="shared" si="12"/>
        <v>14126.47</v>
      </c>
      <c r="J41" s="91">
        <f>SUM(J42:J53)</f>
        <v>0</v>
      </c>
      <c r="K41" s="91">
        <f t="shared" si="12"/>
        <v>3406.2780000000002</v>
      </c>
      <c r="L41" s="91">
        <f t="shared" si="12"/>
        <v>0</v>
      </c>
      <c r="M41" s="348">
        <f t="shared" si="12"/>
        <v>3545.69</v>
      </c>
      <c r="N41" s="348">
        <f t="shared" si="12"/>
        <v>0</v>
      </c>
      <c r="O41" s="348">
        <f t="shared" si="12"/>
        <v>0</v>
      </c>
      <c r="P41" s="348">
        <f t="shared" si="12"/>
        <v>0</v>
      </c>
      <c r="Q41" s="361">
        <f t="shared" si="0"/>
        <v>25.09961795126454</v>
      </c>
      <c r="R41" s="91">
        <f t="shared" si="5"/>
        <v>0</v>
      </c>
      <c r="S41" s="91">
        <f t="shared" si="1"/>
        <v>27.09172351128432</v>
      </c>
      <c r="T41" s="92">
        <f t="shared" si="2"/>
        <v>0</v>
      </c>
    </row>
    <row r="42" spans="1:20" ht="11.25">
      <c r="A42" s="89" t="s">
        <v>193</v>
      </c>
      <c r="B42" s="103" t="s">
        <v>194</v>
      </c>
      <c r="C42" s="219" t="s">
        <v>720</v>
      </c>
      <c r="D42" s="90" t="s">
        <v>157</v>
      </c>
      <c r="E42" s="398">
        <v>227.444</v>
      </c>
      <c r="F42" s="398"/>
      <c r="G42" s="398">
        <f>178.609+26.572</f>
        <v>205.181</v>
      </c>
      <c r="H42" s="398"/>
      <c r="I42" s="398">
        <v>236.98</v>
      </c>
      <c r="J42" s="398"/>
      <c r="K42" s="398">
        <v>236.98</v>
      </c>
      <c r="L42" s="398"/>
      <c r="M42" s="399">
        <v>248.11</v>
      </c>
      <c r="N42" s="399"/>
      <c r="O42" s="399"/>
      <c r="P42" s="472"/>
      <c r="Q42" s="361">
        <f aca="true" t="shared" si="13" ref="Q42:Q68">IF(I42=0,0,(M42/I42*100))</f>
        <v>104.6965988691029</v>
      </c>
      <c r="R42" s="91">
        <f t="shared" si="5"/>
        <v>0</v>
      </c>
      <c r="S42" s="91">
        <f aca="true" t="shared" si="14" ref="S42:S68">IF(E42=0,0,(M42/E42*100))</f>
        <v>109.08619264522257</v>
      </c>
      <c r="T42" s="92">
        <f aca="true" t="shared" si="15" ref="T42:T68">IF(H42=0,0,(M42/H42*100))</f>
        <v>0</v>
      </c>
    </row>
    <row r="43" spans="1:20" ht="11.25">
      <c r="A43" s="89" t="s">
        <v>195</v>
      </c>
      <c r="B43" s="103" t="s">
        <v>196</v>
      </c>
      <c r="C43" s="219" t="s">
        <v>721</v>
      </c>
      <c r="D43" s="90" t="s">
        <v>157</v>
      </c>
      <c r="E43" s="398">
        <v>0.44</v>
      </c>
      <c r="F43" s="398"/>
      <c r="G43" s="398"/>
      <c r="H43" s="398"/>
      <c r="I43" s="398">
        <v>0.46</v>
      </c>
      <c r="J43" s="398"/>
      <c r="K43" s="398"/>
      <c r="L43" s="398"/>
      <c r="M43" s="399"/>
      <c r="N43" s="399"/>
      <c r="O43" s="399"/>
      <c r="P43" s="472"/>
      <c r="Q43" s="361">
        <f t="shared" si="13"/>
        <v>0</v>
      </c>
      <c r="R43" s="91">
        <f t="shared" si="5"/>
        <v>0</v>
      </c>
      <c r="S43" s="91">
        <f t="shared" si="14"/>
        <v>0</v>
      </c>
      <c r="T43" s="92">
        <f t="shared" si="15"/>
        <v>0</v>
      </c>
    </row>
    <row r="44" spans="1:20" ht="22.5">
      <c r="A44" s="89" t="s">
        <v>197</v>
      </c>
      <c r="B44" s="103" t="s">
        <v>198</v>
      </c>
      <c r="C44" s="219" t="s">
        <v>722</v>
      </c>
      <c r="D44" s="90" t="s">
        <v>157</v>
      </c>
      <c r="E44" s="398">
        <v>172.16</v>
      </c>
      <c r="F44" s="398"/>
      <c r="G44" s="398">
        <f>299.231</f>
        <v>299.231</v>
      </c>
      <c r="H44" s="398"/>
      <c r="I44" s="398">
        <v>179.38</v>
      </c>
      <c r="J44" s="398"/>
      <c r="K44" s="398">
        <v>300</v>
      </c>
      <c r="L44" s="398"/>
      <c r="M44" s="399">
        <v>314.1</v>
      </c>
      <c r="N44" s="399"/>
      <c r="O44" s="399"/>
      <c r="P44" s="472"/>
      <c r="Q44" s="361">
        <f t="shared" si="13"/>
        <v>175.10313301371392</v>
      </c>
      <c r="R44" s="91">
        <f t="shared" si="5"/>
        <v>0</v>
      </c>
      <c r="S44" s="91">
        <f t="shared" si="14"/>
        <v>182.44656133828997</v>
      </c>
      <c r="T44" s="92">
        <f t="shared" si="15"/>
        <v>0</v>
      </c>
    </row>
    <row r="45" spans="1:20" ht="11.25">
      <c r="A45" s="89" t="s">
        <v>199</v>
      </c>
      <c r="B45" s="103" t="s">
        <v>200</v>
      </c>
      <c r="C45" s="219" t="s">
        <v>723</v>
      </c>
      <c r="D45" s="90" t="s">
        <v>157</v>
      </c>
      <c r="E45" s="398">
        <v>157.87</v>
      </c>
      <c r="F45" s="398"/>
      <c r="G45" s="398">
        <f>175.528</f>
        <v>175.528</v>
      </c>
      <c r="H45" s="398"/>
      <c r="I45" s="398">
        <v>164.49</v>
      </c>
      <c r="J45" s="398"/>
      <c r="K45" s="398">
        <v>175.53</v>
      </c>
      <c r="L45" s="398"/>
      <c r="M45" s="399">
        <v>183.78</v>
      </c>
      <c r="N45" s="399"/>
      <c r="O45" s="399"/>
      <c r="P45" s="472"/>
      <c r="Q45" s="361">
        <f t="shared" si="13"/>
        <v>111.72715666605872</v>
      </c>
      <c r="R45" s="91">
        <f t="shared" si="5"/>
        <v>0</v>
      </c>
      <c r="S45" s="91">
        <f t="shared" si="14"/>
        <v>116.41223791727371</v>
      </c>
      <c r="T45" s="92">
        <f t="shared" si="15"/>
        <v>0</v>
      </c>
    </row>
    <row r="46" spans="1:20" ht="15.75" customHeight="1">
      <c r="A46" s="89" t="s">
        <v>201</v>
      </c>
      <c r="B46" s="103" t="s">
        <v>202</v>
      </c>
      <c r="C46" s="219" t="s">
        <v>724</v>
      </c>
      <c r="D46" s="90" t="s">
        <v>157</v>
      </c>
      <c r="E46" s="398">
        <v>224.89</v>
      </c>
      <c r="F46" s="398"/>
      <c r="G46" s="398">
        <f>17.569+118.224+50.442+6.445+137.368+59.149+32.84+5.141+3.48</f>
        <v>430.6580000000001</v>
      </c>
      <c r="H46" s="398"/>
      <c r="I46" s="398">
        <v>234.32</v>
      </c>
      <c r="J46" s="398"/>
      <c r="K46" s="398">
        <v>380</v>
      </c>
      <c r="L46" s="398"/>
      <c r="M46" s="399">
        <v>397.86</v>
      </c>
      <c r="N46" s="399"/>
      <c r="O46" s="399"/>
      <c r="P46" s="472"/>
      <c r="Q46" s="361">
        <f t="shared" si="13"/>
        <v>169.79344486172755</v>
      </c>
      <c r="R46" s="91">
        <f t="shared" si="5"/>
        <v>0</v>
      </c>
      <c r="S46" s="91">
        <f t="shared" si="14"/>
        <v>176.91315754368804</v>
      </c>
      <c r="T46" s="92">
        <f t="shared" si="15"/>
        <v>0</v>
      </c>
    </row>
    <row r="47" spans="1:20" ht="11.25">
      <c r="A47" s="89" t="s">
        <v>203</v>
      </c>
      <c r="B47" s="103" t="s">
        <v>204</v>
      </c>
      <c r="C47" s="219" t="s">
        <v>725</v>
      </c>
      <c r="D47" s="90" t="s">
        <v>157</v>
      </c>
      <c r="E47" s="398">
        <v>186.01</v>
      </c>
      <c r="F47" s="398"/>
      <c r="G47" s="398">
        <v>247.653</v>
      </c>
      <c r="H47" s="398"/>
      <c r="I47" s="398">
        <v>683.82</v>
      </c>
      <c r="J47" s="398"/>
      <c r="K47" s="398">
        <v>253.67</v>
      </c>
      <c r="L47" s="398"/>
      <c r="M47" s="399">
        <v>253.67</v>
      </c>
      <c r="N47" s="399"/>
      <c r="O47" s="399"/>
      <c r="P47" s="472"/>
      <c r="Q47" s="361">
        <f t="shared" si="13"/>
        <v>37.09601942031529</v>
      </c>
      <c r="R47" s="91">
        <f t="shared" si="5"/>
        <v>0</v>
      </c>
      <c r="S47" s="91">
        <f t="shared" si="14"/>
        <v>136.37438847373798</v>
      </c>
      <c r="T47" s="92">
        <f t="shared" si="15"/>
        <v>0</v>
      </c>
    </row>
    <row r="48" spans="1:20" ht="11.25">
      <c r="A48" s="89" t="s">
        <v>205</v>
      </c>
      <c r="B48" s="103" t="s">
        <v>206</v>
      </c>
      <c r="C48" s="219" t="s">
        <v>726</v>
      </c>
      <c r="D48" s="90" t="s">
        <v>157</v>
      </c>
      <c r="E48" s="398">
        <v>16.68</v>
      </c>
      <c r="F48" s="398"/>
      <c r="G48" s="398">
        <v>33.415</v>
      </c>
      <c r="H48" s="398"/>
      <c r="I48" s="398">
        <v>17.38</v>
      </c>
      <c r="J48" s="398"/>
      <c r="K48" s="398">
        <v>30</v>
      </c>
      <c r="L48" s="398"/>
      <c r="M48" s="399">
        <v>31.41</v>
      </c>
      <c r="N48" s="399"/>
      <c r="O48" s="399"/>
      <c r="P48" s="472"/>
      <c r="Q48" s="361">
        <f t="shared" si="13"/>
        <v>180.72497123130034</v>
      </c>
      <c r="R48" s="91">
        <f t="shared" si="5"/>
        <v>0</v>
      </c>
      <c r="S48" s="91">
        <f t="shared" si="14"/>
        <v>188.30935251798562</v>
      </c>
      <c r="T48" s="92">
        <f t="shared" si="15"/>
        <v>0</v>
      </c>
    </row>
    <row r="49" spans="1:20" ht="11.25">
      <c r="A49" s="89" t="s">
        <v>207</v>
      </c>
      <c r="B49" s="103" t="s">
        <v>208</v>
      </c>
      <c r="C49" s="219" t="s">
        <v>727</v>
      </c>
      <c r="D49" s="90" t="s">
        <v>157</v>
      </c>
      <c r="E49" s="398">
        <v>29.36</v>
      </c>
      <c r="F49" s="398"/>
      <c r="G49" s="398">
        <v>75.23</v>
      </c>
      <c r="H49" s="398"/>
      <c r="I49" s="398">
        <v>30.59</v>
      </c>
      <c r="J49" s="398"/>
      <c r="K49" s="398">
        <v>75</v>
      </c>
      <c r="L49" s="398"/>
      <c r="M49" s="399">
        <v>78.52</v>
      </c>
      <c r="N49" s="399"/>
      <c r="O49" s="399"/>
      <c r="P49" s="472"/>
      <c r="Q49" s="361">
        <f t="shared" si="13"/>
        <v>256.685191238967</v>
      </c>
      <c r="R49" s="91">
        <f t="shared" si="5"/>
        <v>0</v>
      </c>
      <c r="S49" s="91">
        <f t="shared" si="14"/>
        <v>267.43869209809264</v>
      </c>
      <c r="T49" s="92">
        <f t="shared" si="15"/>
        <v>0</v>
      </c>
    </row>
    <row r="50" spans="1:20" ht="11.25">
      <c r="A50" s="89" t="s">
        <v>209</v>
      </c>
      <c r="B50" s="103" t="s">
        <v>210</v>
      </c>
      <c r="C50" s="219" t="s">
        <v>728</v>
      </c>
      <c r="D50" s="90" t="s">
        <v>157</v>
      </c>
      <c r="E50" s="398">
        <v>178.66</v>
      </c>
      <c r="F50" s="398"/>
      <c r="G50" s="398">
        <f>75.595+96</f>
        <v>171.595</v>
      </c>
      <c r="H50" s="398"/>
      <c r="I50" s="398">
        <v>186.15</v>
      </c>
      <c r="J50" s="398"/>
      <c r="K50" s="398">
        <v>186.15</v>
      </c>
      <c r="L50" s="398"/>
      <c r="M50" s="399">
        <v>186.15</v>
      </c>
      <c r="N50" s="399"/>
      <c r="O50" s="399"/>
      <c r="P50" s="472"/>
      <c r="Q50" s="361">
        <f t="shared" si="13"/>
        <v>100</v>
      </c>
      <c r="R50" s="91">
        <f t="shared" si="5"/>
        <v>0</v>
      </c>
      <c r="S50" s="91">
        <f t="shared" si="14"/>
        <v>104.19232060897797</v>
      </c>
      <c r="T50" s="92">
        <f t="shared" si="15"/>
        <v>0</v>
      </c>
    </row>
    <row r="51" spans="1:20" ht="11.25">
      <c r="A51" s="89" t="s">
        <v>211</v>
      </c>
      <c r="B51" s="103" t="s">
        <v>212</v>
      </c>
      <c r="C51" s="219" t="s">
        <v>729</v>
      </c>
      <c r="D51" s="90" t="s">
        <v>157</v>
      </c>
      <c r="E51" s="398"/>
      <c r="F51" s="398"/>
      <c r="G51" s="398"/>
      <c r="H51" s="398"/>
      <c r="I51" s="398"/>
      <c r="J51" s="398"/>
      <c r="K51" s="398"/>
      <c r="L51" s="398"/>
      <c r="M51" s="399"/>
      <c r="N51" s="399"/>
      <c r="O51" s="399"/>
      <c r="P51" s="472"/>
      <c r="Q51" s="361">
        <f t="shared" si="13"/>
        <v>0</v>
      </c>
      <c r="R51" s="91">
        <f t="shared" si="5"/>
        <v>0</v>
      </c>
      <c r="S51" s="91">
        <f t="shared" si="14"/>
        <v>0</v>
      </c>
      <c r="T51" s="92">
        <f t="shared" si="15"/>
        <v>0</v>
      </c>
    </row>
    <row r="52" spans="1:20" ht="11.25">
      <c r="A52" s="89" t="s">
        <v>213</v>
      </c>
      <c r="B52" s="103" t="s">
        <v>214</v>
      </c>
      <c r="C52" s="219" t="s">
        <v>730</v>
      </c>
      <c r="D52" s="90" t="s">
        <v>157</v>
      </c>
      <c r="E52" s="398"/>
      <c r="F52" s="398"/>
      <c r="G52" s="398"/>
      <c r="H52" s="398"/>
      <c r="I52" s="398"/>
      <c r="J52" s="398"/>
      <c r="K52" s="398"/>
      <c r="L52" s="398"/>
      <c r="M52" s="399"/>
      <c r="N52" s="399"/>
      <c r="O52" s="399"/>
      <c r="P52" s="472"/>
      <c r="Q52" s="361">
        <f t="shared" si="13"/>
        <v>0</v>
      </c>
      <c r="R52" s="91">
        <f t="shared" si="5"/>
        <v>0</v>
      </c>
      <c r="S52" s="91">
        <f t="shared" si="14"/>
        <v>0</v>
      </c>
      <c r="T52" s="92">
        <f t="shared" si="15"/>
        <v>0</v>
      </c>
    </row>
    <row r="53" spans="1:20" ht="22.5">
      <c r="A53" s="89" t="s">
        <v>215</v>
      </c>
      <c r="B53" s="103" t="s">
        <v>216</v>
      </c>
      <c r="C53" s="219" t="s">
        <v>731</v>
      </c>
      <c r="D53" s="90" t="s">
        <v>157</v>
      </c>
      <c r="E53" s="398">
        <v>11894.21</v>
      </c>
      <c r="F53" s="398"/>
      <c r="G53" s="398">
        <v>1768.948</v>
      </c>
      <c r="H53" s="398"/>
      <c r="I53" s="398">
        <v>12392.9</v>
      </c>
      <c r="J53" s="398"/>
      <c r="K53" s="398">
        <v>1768.948</v>
      </c>
      <c r="L53" s="398"/>
      <c r="M53" s="399">
        <v>1852.09</v>
      </c>
      <c r="N53" s="399"/>
      <c r="O53" s="399"/>
      <c r="P53" s="472"/>
      <c r="Q53" s="361">
        <f t="shared" si="13"/>
        <v>14.944766761613504</v>
      </c>
      <c r="R53" s="91">
        <f t="shared" si="5"/>
        <v>0</v>
      </c>
      <c r="S53" s="91">
        <f t="shared" si="14"/>
        <v>15.571357828725068</v>
      </c>
      <c r="T53" s="92">
        <f t="shared" si="15"/>
        <v>0</v>
      </c>
    </row>
    <row r="54" spans="1:20" ht="11.25">
      <c r="A54" s="94" t="s">
        <v>122</v>
      </c>
      <c r="B54" s="95" t="s">
        <v>217</v>
      </c>
      <c r="C54" s="219" t="s">
        <v>124</v>
      </c>
      <c r="D54" s="95" t="s">
        <v>157</v>
      </c>
      <c r="E54" s="96">
        <f aca="true" t="shared" si="16" ref="E54:P54">SUM(E55:E57,E62:E63)</f>
        <v>1090.2740000000001</v>
      </c>
      <c r="F54" s="96">
        <f>SUM(F55:F57,F62:F63)</f>
        <v>0</v>
      </c>
      <c r="G54" s="96">
        <f t="shared" si="16"/>
        <v>705.0909999999999</v>
      </c>
      <c r="H54" s="96">
        <f t="shared" si="16"/>
        <v>0</v>
      </c>
      <c r="I54" s="96">
        <f t="shared" si="16"/>
        <v>1123.5600000000002</v>
      </c>
      <c r="J54" s="96">
        <f>SUM(J55:J57,J62:J63)</f>
        <v>0</v>
      </c>
      <c r="K54" s="96">
        <f t="shared" si="16"/>
        <v>890.116</v>
      </c>
      <c r="L54" s="96">
        <f t="shared" si="16"/>
        <v>0</v>
      </c>
      <c r="M54" s="349">
        <f t="shared" si="16"/>
        <v>975.9580000000001</v>
      </c>
      <c r="N54" s="349">
        <f t="shared" si="16"/>
        <v>0</v>
      </c>
      <c r="O54" s="349">
        <f t="shared" si="16"/>
        <v>0</v>
      </c>
      <c r="P54" s="349">
        <f t="shared" si="16"/>
        <v>0</v>
      </c>
      <c r="Q54" s="361">
        <f t="shared" si="13"/>
        <v>86.86300687101712</v>
      </c>
      <c r="R54" s="91">
        <f t="shared" si="5"/>
        <v>0</v>
      </c>
      <c r="S54" s="91">
        <f t="shared" si="14"/>
        <v>89.5149292746594</v>
      </c>
      <c r="T54" s="92">
        <f t="shared" si="15"/>
        <v>0</v>
      </c>
    </row>
    <row r="55" spans="1:20" ht="11.25">
      <c r="A55" s="89" t="s">
        <v>218</v>
      </c>
      <c r="B55" s="90" t="s">
        <v>219</v>
      </c>
      <c r="C55" s="219" t="s">
        <v>732</v>
      </c>
      <c r="D55" s="90" t="s">
        <v>157</v>
      </c>
      <c r="E55" s="395">
        <v>450.04</v>
      </c>
      <c r="F55" s="395"/>
      <c r="G55" s="395">
        <v>290.93</v>
      </c>
      <c r="H55" s="395"/>
      <c r="I55" s="395">
        <v>468.91</v>
      </c>
      <c r="J55" s="395"/>
      <c r="K55" s="395">
        <v>350</v>
      </c>
      <c r="L55" s="395"/>
      <c r="M55" s="396">
        <v>350</v>
      </c>
      <c r="N55" s="396"/>
      <c r="O55" s="396"/>
      <c r="P55" s="468"/>
      <c r="Q55" s="361">
        <f t="shared" si="13"/>
        <v>74.64118914077328</v>
      </c>
      <c r="R55" s="91">
        <f t="shared" si="5"/>
        <v>0</v>
      </c>
      <c r="S55" s="91">
        <f t="shared" si="14"/>
        <v>77.77086481201671</v>
      </c>
      <c r="T55" s="92">
        <f t="shared" si="15"/>
        <v>0</v>
      </c>
    </row>
    <row r="56" spans="1:20" ht="11.25">
      <c r="A56" s="89" t="s">
        <v>220</v>
      </c>
      <c r="B56" s="90" t="s">
        <v>221</v>
      </c>
      <c r="C56" s="219" t="s">
        <v>733</v>
      </c>
      <c r="D56" s="90" t="s">
        <v>157</v>
      </c>
      <c r="E56" s="395">
        <v>200.12</v>
      </c>
      <c r="F56" s="395"/>
      <c r="G56" s="395"/>
      <c r="H56" s="395"/>
      <c r="I56" s="395">
        <v>208.51</v>
      </c>
      <c r="J56" s="395"/>
      <c r="K56" s="395"/>
      <c r="L56" s="395"/>
      <c r="M56" s="396"/>
      <c r="N56" s="396"/>
      <c r="O56" s="396"/>
      <c r="P56" s="468"/>
      <c r="Q56" s="361">
        <f t="shared" si="13"/>
        <v>0</v>
      </c>
      <c r="R56" s="91">
        <f t="shared" si="5"/>
        <v>0</v>
      </c>
      <c r="S56" s="91">
        <f t="shared" si="14"/>
        <v>0</v>
      </c>
      <c r="T56" s="92">
        <f t="shared" si="15"/>
        <v>0</v>
      </c>
    </row>
    <row r="57" spans="1:20" ht="11.25">
      <c r="A57" s="89" t="s">
        <v>222</v>
      </c>
      <c r="B57" s="90" t="s">
        <v>223</v>
      </c>
      <c r="C57" s="219" t="s">
        <v>734</v>
      </c>
      <c r="D57" s="90" t="s">
        <v>157</v>
      </c>
      <c r="E57" s="91">
        <v>73.79</v>
      </c>
      <c r="F57" s="91">
        <f>SUM(F58:F61)</f>
        <v>0</v>
      </c>
      <c r="G57" s="91">
        <f aca="true" t="shared" si="17" ref="G57:L57">SUM(G58:G61)</f>
        <v>74.196</v>
      </c>
      <c r="H57" s="91">
        <f t="shared" si="17"/>
        <v>0</v>
      </c>
      <c r="I57" s="91">
        <f t="shared" si="17"/>
        <v>64.46000000000001</v>
      </c>
      <c r="J57" s="91">
        <f>SUM(J58:J61)</f>
        <v>0</v>
      </c>
      <c r="K57" s="91">
        <f t="shared" si="17"/>
        <v>158.436</v>
      </c>
      <c r="L57" s="91">
        <f t="shared" si="17"/>
        <v>0</v>
      </c>
      <c r="M57" s="348">
        <v>226.34</v>
      </c>
      <c r="N57" s="348"/>
      <c r="O57" s="348"/>
      <c r="P57" s="348"/>
      <c r="Q57" s="361">
        <f t="shared" si="13"/>
        <v>351.132485262178</v>
      </c>
      <c r="R57" s="91">
        <f t="shared" si="5"/>
        <v>0</v>
      </c>
      <c r="S57" s="91">
        <f t="shared" si="14"/>
        <v>306.7353299905136</v>
      </c>
      <c r="T57" s="92">
        <f t="shared" si="15"/>
        <v>0</v>
      </c>
    </row>
    <row r="58" spans="1:20" ht="11.25">
      <c r="A58" s="89"/>
      <c r="B58" s="99" t="s">
        <v>28</v>
      </c>
      <c r="C58" s="219" t="s">
        <v>735</v>
      </c>
      <c r="D58" s="90"/>
      <c r="E58" s="395"/>
      <c r="F58" s="395"/>
      <c r="G58" s="395"/>
      <c r="H58" s="395"/>
      <c r="I58" s="395"/>
      <c r="J58" s="395"/>
      <c r="K58" s="395"/>
      <c r="L58" s="395"/>
      <c r="M58" s="396">
        <f>M57/M123*M124</f>
        <v>0</v>
      </c>
      <c r="N58" s="396" t="e">
        <f>N57/N123*N124</f>
        <v>#DIV/0!</v>
      </c>
      <c r="O58" s="396" t="e">
        <f>O57/O123*O124</f>
        <v>#DIV/0!</v>
      </c>
      <c r="P58" s="396" t="e">
        <f>P57/P123*P124</f>
        <v>#DIV/0!</v>
      </c>
      <c r="Q58" s="361">
        <f t="shared" si="13"/>
        <v>0</v>
      </c>
      <c r="R58" s="91">
        <f t="shared" si="5"/>
        <v>0</v>
      </c>
      <c r="S58" s="91">
        <f t="shared" si="14"/>
        <v>0</v>
      </c>
      <c r="T58" s="92">
        <f t="shared" si="15"/>
        <v>0</v>
      </c>
    </row>
    <row r="59" spans="1:20" ht="11.25">
      <c r="A59" s="89"/>
      <c r="B59" s="99" t="s">
        <v>29</v>
      </c>
      <c r="C59" s="219" t="s">
        <v>925</v>
      </c>
      <c r="D59" s="90"/>
      <c r="E59" s="395">
        <v>5.14</v>
      </c>
      <c r="F59" s="395"/>
      <c r="G59" s="395">
        <v>1.57</v>
      </c>
      <c r="H59" s="395"/>
      <c r="I59" s="395">
        <v>4.48</v>
      </c>
      <c r="J59" s="395"/>
      <c r="K59" s="395">
        <v>3.36</v>
      </c>
      <c r="L59" s="395"/>
      <c r="M59" s="396">
        <f>M57/M123*M125</f>
        <v>24.780025907818313</v>
      </c>
      <c r="N59" s="396" t="e">
        <f>N57/N123*N125</f>
        <v>#DIV/0!</v>
      </c>
      <c r="O59" s="396" t="e">
        <f>O57/O123*O125</f>
        <v>#DIV/0!</v>
      </c>
      <c r="P59" s="396" t="e">
        <f>P57/P123*P125</f>
        <v>#DIV/0!</v>
      </c>
      <c r="Q59" s="361">
        <f t="shared" si="13"/>
        <v>553.1255782995158</v>
      </c>
      <c r="R59" s="91">
        <f t="shared" si="5"/>
        <v>0</v>
      </c>
      <c r="S59" s="91">
        <f t="shared" si="14"/>
        <v>482.10167135833296</v>
      </c>
      <c r="T59" s="92">
        <f t="shared" si="15"/>
        <v>0</v>
      </c>
    </row>
    <row r="60" spans="1:20" ht="11.25">
      <c r="A60" s="89"/>
      <c r="B60" s="99" t="s">
        <v>30</v>
      </c>
      <c r="C60" s="219" t="s">
        <v>926</v>
      </c>
      <c r="D60" s="90"/>
      <c r="E60" s="395">
        <v>57.79</v>
      </c>
      <c r="F60" s="395"/>
      <c r="G60" s="395">
        <v>61.366</v>
      </c>
      <c r="H60" s="395"/>
      <c r="I60" s="395">
        <v>51.06</v>
      </c>
      <c r="J60" s="395"/>
      <c r="K60" s="395">
        <v>131.046</v>
      </c>
      <c r="L60" s="395"/>
      <c r="M60" s="396">
        <f>M57/M123*M126</f>
        <v>172.5379156866609</v>
      </c>
      <c r="N60" s="396" t="e">
        <f>N57/N123*N126</f>
        <v>#DIV/0!</v>
      </c>
      <c r="O60" s="396" t="e">
        <f>O57/O123*O126</f>
        <v>#DIV/0!</v>
      </c>
      <c r="P60" s="396" t="e">
        <f>P57/P123*P126</f>
        <v>#DIV/0!</v>
      </c>
      <c r="Q60" s="361">
        <f t="shared" si="13"/>
        <v>337.9120949601663</v>
      </c>
      <c r="R60" s="91">
        <f t="shared" si="5"/>
        <v>0</v>
      </c>
      <c r="S60" s="91">
        <f t="shared" si="14"/>
        <v>298.56015865488996</v>
      </c>
      <c r="T60" s="92">
        <f t="shared" si="15"/>
        <v>0</v>
      </c>
    </row>
    <row r="61" spans="1:20" ht="11.25">
      <c r="A61" s="89"/>
      <c r="B61" s="99" t="s">
        <v>31</v>
      </c>
      <c r="C61" s="219" t="s">
        <v>927</v>
      </c>
      <c r="D61" s="90"/>
      <c r="E61" s="395">
        <v>10.894</v>
      </c>
      <c r="F61" s="395"/>
      <c r="G61" s="395">
        <v>11.26</v>
      </c>
      <c r="H61" s="395"/>
      <c r="I61" s="395">
        <v>8.92</v>
      </c>
      <c r="J61" s="395"/>
      <c r="K61" s="395">
        <v>24.03</v>
      </c>
      <c r="L61" s="395"/>
      <c r="M61" s="396">
        <f>M57/M123*M127</f>
        <v>29.02205840552076</v>
      </c>
      <c r="N61" s="396" t="e">
        <f>N57/N123*N127</f>
        <v>#DIV/0!</v>
      </c>
      <c r="O61" s="396" t="e">
        <f>O57/O123*O127</f>
        <v>#DIV/0!</v>
      </c>
      <c r="P61" s="396" t="e">
        <f>P57/P123*P127</f>
        <v>#DIV/0!</v>
      </c>
      <c r="Q61" s="361">
        <f t="shared" si="13"/>
        <v>325.35939916503094</v>
      </c>
      <c r="R61" s="91">
        <f t="shared" si="5"/>
        <v>0</v>
      </c>
      <c r="S61" s="91">
        <f t="shared" si="14"/>
        <v>266.4040610016593</v>
      </c>
      <c r="T61" s="92">
        <f t="shared" si="15"/>
        <v>0</v>
      </c>
    </row>
    <row r="62" spans="1:20" ht="22.5">
      <c r="A62" s="89" t="s">
        <v>224</v>
      </c>
      <c r="B62" s="90" t="s">
        <v>225</v>
      </c>
      <c r="C62" s="219" t="s">
        <v>736</v>
      </c>
      <c r="D62" s="90" t="s">
        <v>157</v>
      </c>
      <c r="E62" s="395"/>
      <c r="F62" s="395"/>
      <c r="G62" s="395"/>
      <c r="H62" s="395"/>
      <c r="I62" s="395"/>
      <c r="J62" s="395"/>
      <c r="K62" s="395"/>
      <c r="L62" s="395"/>
      <c r="M62" s="396"/>
      <c r="N62" s="396"/>
      <c r="O62" s="396"/>
      <c r="P62" s="468"/>
      <c r="Q62" s="361">
        <f t="shared" si="13"/>
        <v>0</v>
      </c>
      <c r="R62" s="91">
        <f t="shared" si="5"/>
        <v>0</v>
      </c>
      <c r="S62" s="91">
        <f t="shared" si="14"/>
        <v>0</v>
      </c>
      <c r="T62" s="92">
        <f t="shared" si="15"/>
        <v>0</v>
      </c>
    </row>
    <row r="63" spans="1:20" ht="11.25">
      <c r="A63" s="89" t="s">
        <v>226</v>
      </c>
      <c r="B63" s="90" t="s">
        <v>227</v>
      </c>
      <c r="C63" s="219" t="s">
        <v>737</v>
      </c>
      <c r="D63" s="90" t="s">
        <v>157</v>
      </c>
      <c r="E63" s="395">
        <v>366.324</v>
      </c>
      <c r="F63" s="395"/>
      <c r="G63" s="395">
        <v>339.965</v>
      </c>
      <c r="H63" s="395"/>
      <c r="I63" s="395">
        <v>381.68</v>
      </c>
      <c r="J63" s="395"/>
      <c r="K63" s="395">
        <v>381.68</v>
      </c>
      <c r="L63" s="395"/>
      <c r="M63" s="396">
        <v>399.618</v>
      </c>
      <c r="N63" s="396"/>
      <c r="O63" s="396"/>
      <c r="P63" s="468"/>
      <c r="Q63" s="361">
        <f t="shared" si="13"/>
        <v>104.69974848040242</v>
      </c>
      <c r="R63" s="91">
        <f t="shared" si="5"/>
        <v>0</v>
      </c>
      <c r="S63" s="91">
        <f t="shared" si="14"/>
        <v>109.08867559865037</v>
      </c>
      <c r="T63" s="92">
        <f t="shared" si="15"/>
        <v>0</v>
      </c>
    </row>
    <row r="64" spans="1:20" ht="22.5">
      <c r="A64" s="94" t="s">
        <v>228</v>
      </c>
      <c r="B64" s="95" t="s">
        <v>229</v>
      </c>
      <c r="C64" s="219" t="s">
        <v>394</v>
      </c>
      <c r="D64" s="95" t="s">
        <v>157</v>
      </c>
      <c r="E64" s="96">
        <f aca="true" t="shared" si="18" ref="E64:P64">E13+E54</f>
        <v>42212.86167620086</v>
      </c>
      <c r="F64" s="96">
        <f>F13+F54</f>
        <v>0</v>
      </c>
      <c r="G64" s="96">
        <f>G13+G54</f>
        <v>45764.24174035705</v>
      </c>
      <c r="H64" s="96">
        <f t="shared" si="18"/>
        <v>0</v>
      </c>
      <c r="I64" s="96">
        <f t="shared" si="18"/>
        <v>44820.77740240548</v>
      </c>
      <c r="J64" s="96">
        <f>J13+J54</f>
        <v>0</v>
      </c>
      <c r="K64" s="96">
        <f>K13+K54</f>
        <v>50006.98531595115</v>
      </c>
      <c r="L64" s="96">
        <f t="shared" si="18"/>
        <v>2739.2430615831745</v>
      </c>
      <c r="M64" s="349">
        <f t="shared" si="18"/>
        <v>54772.676665172345</v>
      </c>
      <c r="N64" s="349">
        <f>N13+N54</f>
        <v>0</v>
      </c>
      <c r="O64" s="349">
        <f>O13+O54</f>
        <v>0</v>
      </c>
      <c r="P64" s="349">
        <f t="shared" si="18"/>
        <v>3334.121317286632</v>
      </c>
      <c r="Q64" s="361">
        <f t="shared" si="13"/>
        <v>122.20376316416312</v>
      </c>
      <c r="R64" s="91">
        <f t="shared" si="5"/>
        <v>1999.5551849099475</v>
      </c>
      <c r="S64" s="91">
        <f t="shared" si="14"/>
        <v>129.75352650884736</v>
      </c>
      <c r="T64" s="92">
        <f t="shared" si="15"/>
        <v>0</v>
      </c>
    </row>
    <row r="65" spans="1:20" ht="11.25">
      <c r="A65" s="94"/>
      <c r="B65" s="99" t="s">
        <v>28</v>
      </c>
      <c r="C65" s="219" t="s">
        <v>738</v>
      </c>
      <c r="D65" s="95"/>
      <c r="E65" s="96">
        <f aca="true" t="shared" si="19" ref="E65:P65">IF(E123=0,0,E23+E58+(E$64-E$20-E$31-E$57)*E124/E$123+E32+E$21*E124/E$123)</f>
        <v>0</v>
      </c>
      <c r="F65" s="96">
        <f>IF(F123=0,0,F23+F58+(F$64-F$20-F$31-F$57)*F124/F$123+F32+F$21*F124/F$123)</f>
        <v>0</v>
      </c>
      <c r="G65" s="96">
        <f>IF(G123=0,0,G23+G58+(G$64-G$20-G$31-G$57)*G124/G$123+G32+G$21*G124/G$123)</f>
        <v>0</v>
      </c>
      <c r="H65" s="96">
        <f t="shared" si="19"/>
        <v>0</v>
      </c>
      <c r="I65" s="96">
        <f t="shared" si="19"/>
        <v>0</v>
      </c>
      <c r="J65" s="96">
        <f>IF(J123=0,0,J23+J58+(J$64-J$20-J$31-J$57)*J124/J$123+J32+J$21*J124/J$123)</f>
        <v>0</v>
      </c>
      <c r="K65" s="96">
        <f>IF(K123=0,0,K23+K58+(K$64-K$20-K$31-K$57)*K124/K$123+K32+K$21*K124/K$123)</f>
        <v>0</v>
      </c>
      <c r="L65" s="96">
        <f t="shared" si="19"/>
        <v>0</v>
      </c>
      <c r="M65" s="349">
        <f t="shared" si="19"/>
        <v>0</v>
      </c>
      <c r="N65" s="349">
        <f>IF(N123=0,0,N23+N58+(N$64-N$20-N$31-N$57)*N124/N$123+N32+N$21*N124/N$123)</f>
        <v>0</v>
      </c>
      <c r="O65" s="349">
        <f>IF(O123=0,0,O23+O58+(O$64-O$20-O$31-O$57)*O124/O$123+O32+O$21*O124/O$123)</f>
        <v>0</v>
      </c>
      <c r="P65" s="349">
        <f t="shared" si="19"/>
        <v>0</v>
      </c>
      <c r="Q65" s="361">
        <f t="shared" si="13"/>
        <v>0</v>
      </c>
      <c r="R65" s="91">
        <f t="shared" si="5"/>
        <v>0</v>
      </c>
      <c r="S65" s="91">
        <f t="shared" si="14"/>
        <v>0</v>
      </c>
      <c r="T65" s="92">
        <f t="shared" si="15"/>
        <v>0</v>
      </c>
    </row>
    <row r="66" spans="1:20" ht="11.25">
      <c r="A66" s="94"/>
      <c r="B66" s="99" t="s">
        <v>29</v>
      </c>
      <c r="C66" s="219" t="s">
        <v>739</v>
      </c>
      <c r="D66" s="95"/>
      <c r="E66" s="96">
        <f aca="true" t="shared" si="20" ref="E66:P66">IF(E123=0,0,E24+E59+(E$64-E$20-E$31-E$57)*E125/E$123+E33+E$21*E125/E$123)</f>
        <v>2882.7014471128846</v>
      </c>
      <c r="F66" s="96">
        <f>IF(F123=0,0,F24+F59+(F$64-F$20-F$31-F$57)*F125/F$123+F33+F$21*F125/F$123)</f>
        <v>0</v>
      </c>
      <c r="G66" s="96">
        <f>IF(G123=0,0,G24+G59+(G$64-G$20-G$31-G$57)*G125/G$123+G33+G$21*G125/G$123)</f>
        <v>3149.411989254898</v>
      </c>
      <c r="H66" s="96">
        <f t="shared" si="20"/>
        <v>0</v>
      </c>
      <c r="I66" s="96">
        <f t="shared" si="20"/>
        <v>3046.95101508098</v>
      </c>
      <c r="J66" s="96">
        <f>IF(J123=0,0,J24+J59+(J$64-J$20-J$31-J$57)*J125/J$123+J33+J$21*J125/J$123)</f>
        <v>0</v>
      </c>
      <c r="K66" s="96">
        <f>IF(K123=0,0,K24+K59+(K$64-K$20-K$31-K$57)*K125/K$123+K33+K$21*K125/K$123)</f>
        <v>3223.624661656567</v>
      </c>
      <c r="L66" s="96">
        <f t="shared" si="20"/>
        <v>0</v>
      </c>
      <c r="M66" s="349">
        <f t="shared" si="20"/>
        <v>5945.38415188465</v>
      </c>
      <c r="N66" s="349">
        <f>IF(N123=0,0,N24+N59+(N$64-N$20-N$31-N$57)*N125/N$123+N33+N$21*N125/N$123)</f>
        <v>0</v>
      </c>
      <c r="O66" s="349">
        <f>IF(O123=0,0,O24+O59+(O$64-O$20-O$31-O$57)*O125/O$123+O33+O$21*O125/O$123)</f>
        <v>0</v>
      </c>
      <c r="P66" s="349">
        <f t="shared" si="20"/>
        <v>0</v>
      </c>
      <c r="Q66" s="361">
        <f t="shared" si="13"/>
        <v>195.12568867887222</v>
      </c>
      <c r="R66" s="91">
        <f t="shared" si="5"/>
        <v>0</v>
      </c>
      <c r="S66" s="91">
        <f t="shared" si="14"/>
        <v>206.2434928125886</v>
      </c>
      <c r="T66" s="92">
        <f t="shared" si="15"/>
        <v>0</v>
      </c>
    </row>
    <row r="67" spans="1:20" ht="11.25">
      <c r="A67" s="94"/>
      <c r="B67" s="99" t="s">
        <v>30</v>
      </c>
      <c r="C67" s="219" t="s">
        <v>740</v>
      </c>
      <c r="D67" s="95"/>
      <c r="E67" s="96">
        <f aca="true" t="shared" si="21" ref="E67:P67">IF(E123=0,0,E25+E60+(E$64-E$20-E$31-E$57)*E126/E$123+E34+E$21*E126/E$123)</f>
        <v>33105.53085095412</v>
      </c>
      <c r="F67" s="96">
        <f>IF(F123=0,0,F25+F60+(F$64-F$20-F$31-F$57)*F126/F$123+F34+F$21*F126/F$123)</f>
        <v>0</v>
      </c>
      <c r="G67" s="96">
        <f>IF(G123=0,0,G25+G60+(G$64-G$20-G$31-G$57)*G126/G$123+G34+G$21*G126/G$123)</f>
        <v>36274.20575636281</v>
      </c>
      <c r="H67" s="96">
        <f t="shared" si="21"/>
        <v>0</v>
      </c>
      <c r="I67" s="96">
        <f t="shared" si="21"/>
        <v>35224.426687561</v>
      </c>
      <c r="J67" s="96">
        <f>IF(J123=0,0,J25+J60+(J$64-J$20-J$31-J$57)*J126/J$123+J34+J$21*J126/J$123)</f>
        <v>0</v>
      </c>
      <c r="K67" s="96">
        <f>IF(K123=0,0,K25+K60+(K$64-K$20-K$31-K$57)*K126/K$123+K34+K$21*K126/K$123)</f>
        <v>40285.689093212866</v>
      </c>
      <c r="L67" s="96">
        <f t="shared" si="21"/>
        <v>0</v>
      </c>
      <c r="M67" s="349">
        <f t="shared" si="21"/>
        <v>41796.50878808452</v>
      </c>
      <c r="N67" s="349">
        <f>IF(N123=0,0,N25+N60+(N$64-N$20-N$31-N$57)*N126/N$123+N34+N$21*N126/N$123)</f>
        <v>0</v>
      </c>
      <c r="O67" s="349">
        <f>IF(O123=0,0,O25+O60+(O$64-O$20-O$31-O$57)*O126/O$123+O34+O$21*O126/O$123)</f>
        <v>0</v>
      </c>
      <c r="P67" s="349">
        <f t="shared" si="21"/>
        <v>0</v>
      </c>
      <c r="Q67" s="361">
        <f t="shared" si="13"/>
        <v>118.6577404334145</v>
      </c>
      <c r="R67" s="91">
        <f t="shared" si="5"/>
        <v>0</v>
      </c>
      <c r="S67" s="91">
        <f t="shared" si="14"/>
        <v>126.2523442872988</v>
      </c>
      <c r="T67" s="92">
        <f t="shared" si="15"/>
        <v>0</v>
      </c>
    </row>
    <row r="68" spans="1:20" ht="11.25">
      <c r="A68" s="94"/>
      <c r="B68" s="99" t="s">
        <v>31</v>
      </c>
      <c r="C68" s="219" t="s">
        <v>741</v>
      </c>
      <c r="D68" s="95"/>
      <c r="E68" s="96">
        <f aca="true" t="shared" si="22" ref="E68:P68">IF(E123=0,0,E26+E61+(E$64-E$20-E$31-E$57)*E127/E$123+E35+E$21*E127/E$123)</f>
        <v>6224.663378133861</v>
      </c>
      <c r="F68" s="96">
        <f>IF(F123=0,0,F26+F61+(F$64-F$20-F$31-F$57)*F127/F$123+F35+F$21*F127/F$123)</f>
        <v>0</v>
      </c>
      <c r="G68" s="96">
        <f>IF(G123=0,0,G26+G61+(G$64-G$20-G$31-G$57)*G127/G$123+G35+G$21*G127/G$123)</f>
        <v>6340.623994739342</v>
      </c>
      <c r="H68" s="96">
        <f t="shared" si="22"/>
        <v>0</v>
      </c>
      <c r="I68" s="96">
        <f t="shared" si="22"/>
        <v>6549.399699763513</v>
      </c>
      <c r="J68" s="96">
        <f>IF(J123=0,0,J26+J61+(J$64-J$20-J$31-J$57)*J127/J$123+J35+J$21*J127/J$123)</f>
        <v>0</v>
      </c>
      <c r="K68" s="96">
        <f>IF(K123=0,0,K26+K61+(K$64-K$20-K$31-K$57)*K127/K$123+K35+K$21*K127/K$123)</f>
        <v>6497.671561081717</v>
      </c>
      <c r="L68" s="96">
        <f t="shared" si="22"/>
        <v>0</v>
      </c>
      <c r="M68" s="349">
        <f t="shared" si="22"/>
        <v>7030.783725203179</v>
      </c>
      <c r="N68" s="349">
        <f>IF(N123=0,0,N26+N61+(N$64-N$20-N$31-N$57)*N127/N$123+N35+N$21*N127/N$123)</f>
        <v>0</v>
      </c>
      <c r="O68" s="349">
        <f>IF(O123=0,0,O26+O61+(O$64-O$20-O$31-O$57)*O127/O$123+O35+O$21*O127/O$123)</f>
        <v>0</v>
      </c>
      <c r="P68" s="349">
        <f t="shared" si="22"/>
        <v>0</v>
      </c>
      <c r="Q68" s="361">
        <f t="shared" si="13"/>
        <v>107.35004805794716</v>
      </c>
      <c r="R68" s="91">
        <f t="shared" si="5"/>
        <v>0</v>
      </c>
      <c r="S68" s="91">
        <f t="shared" si="14"/>
        <v>112.95042475551489</v>
      </c>
      <c r="T68" s="92">
        <f t="shared" si="15"/>
        <v>0</v>
      </c>
    </row>
    <row r="69" spans="1:20" ht="11.25">
      <c r="A69" s="89"/>
      <c r="B69" s="90"/>
      <c r="C69" s="219"/>
      <c r="D69" s="90"/>
      <c r="E69" s="105"/>
      <c r="F69" s="105"/>
      <c r="G69" s="105"/>
      <c r="H69" s="105"/>
      <c r="I69" s="105"/>
      <c r="J69" s="105"/>
      <c r="K69" s="105"/>
      <c r="L69" s="105"/>
      <c r="M69" s="353"/>
      <c r="N69" s="353"/>
      <c r="O69" s="353"/>
      <c r="P69" s="106"/>
      <c r="Q69" s="108"/>
      <c r="R69" s="105"/>
      <c r="S69" s="105"/>
      <c r="T69" s="106"/>
    </row>
    <row r="70" spans="1:20" ht="22.5">
      <c r="A70" s="94" t="s">
        <v>230</v>
      </c>
      <c r="B70" s="95" t="s">
        <v>231</v>
      </c>
      <c r="C70" s="219" t="s">
        <v>395</v>
      </c>
      <c r="D70" s="95" t="s">
        <v>157</v>
      </c>
      <c r="E70" s="96">
        <f aca="true" t="shared" si="23" ref="E70:P70">SUM(E71,E76:E79)</f>
        <v>366.32</v>
      </c>
      <c r="F70" s="96">
        <f>SUM(F71,F76:F79)</f>
        <v>0</v>
      </c>
      <c r="G70" s="96">
        <f t="shared" si="23"/>
        <v>208.429</v>
      </c>
      <c r="H70" s="96">
        <f t="shared" si="23"/>
        <v>0</v>
      </c>
      <c r="I70" s="96">
        <f t="shared" si="23"/>
        <v>381.68</v>
      </c>
      <c r="J70" s="96">
        <f>SUM(J71,J76:J79)</f>
        <v>0</v>
      </c>
      <c r="K70" s="96">
        <f t="shared" si="23"/>
        <v>469.97</v>
      </c>
      <c r="L70" s="96">
        <f t="shared" si="23"/>
        <v>0</v>
      </c>
      <c r="M70" s="349">
        <f t="shared" si="23"/>
        <v>5019.97</v>
      </c>
      <c r="N70" s="349">
        <f t="shared" si="23"/>
        <v>0</v>
      </c>
      <c r="O70" s="349">
        <f>SUM(O71,O76:O79)</f>
        <v>0</v>
      </c>
      <c r="P70" s="349">
        <f t="shared" si="23"/>
        <v>0</v>
      </c>
      <c r="Q70" s="361">
        <f aca="true" t="shared" si="24" ref="Q70:Q79">IF(I70=0,0,(M70/I70*100))</f>
        <v>1315.230035631943</v>
      </c>
      <c r="R70" s="91">
        <f aca="true" t="shared" si="25" ref="R70:R127">IF(L70=0,0,(M70/L70*100))</f>
        <v>0</v>
      </c>
      <c r="S70" s="91">
        <f aca="true" t="shared" si="26" ref="S70:S79">IF(E70=0,0,(M70/E70*100))</f>
        <v>1370.3783577200263</v>
      </c>
      <c r="T70" s="92">
        <f aca="true" t="shared" si="27" ref="T70:T79">IF(H70=0,0,(M70/H70*100))</f>
        <v>0</v>
      </c>
    </row>
    <row r="71" spans="1:20" ht="22.5">
      <c r="A71" s="89" t="s">
        <v>232</v>
      </c>
      <c r="B71" s="90" t="s">
        <v>233</v>
      </c>
      <c r="C71" s="219" t="s">
        <v>742</v>
      </c>
      <c r="D71" s="90" t="s">
        <v>157</v>
      </c>
      <c r="E71" s="91">
        <f aca="true" t="shared" si="28" ref="E71:P71">SUM(E72:E75)</f>
        <v>0</v>
      </c>
      <c r="F71" s="91">
        <f>SUM(F72:F75)</f>
        <v>0</v>
      </c>
      <c r="G71" s="91">
        <f t="shared" si="28"/>
        <v>0</v>
      </c>
      <c r="H71" s="91">
        <f t="shared" si="28"/>
        <v>0</v>
      </c>
      <c r="I71" s="91">
        <f t="shared" si="28"/>
        <v>0</v>
      </c>
      <c r="J71" s="91">
        <f>SUM(J72:J75)</f>
        <v>0</v>
      </c>
      <c r="K71" s="91">
        <f t="shared" si="28"/>
        <v>0</v>
      </c>
      <c r="L71" s="91">
        <f t="shared" si="28"/>
        <v>0</v>
      </c>
      <c r="M71" s="348">
        <f t="shared" si="28"/>
        <v>4580</v>
      </c>
      <c r="N71" s="348">
        <f t="shared" si="28"/>
        <v>0</v>
      </c>
      <c r="O71" s="348">
        <f>SUM(O72:O75)</f>
        <v>0</v>
      </c>
      <c r="P71" s="348">
        <f t="shared" si="28"/>
        <v>0</v>
      </c>
      <c r="Q71" s="361">
        <f t="shared" si="24"/>
        <v>0</v>
      </c>
      <c r="R71" s="91">
        <f t="shared" si="25"/>
        <v>0</v>
      </c>
      <c r="S71" s="91">
        <f t="shared" si="26"/>
        <v>0</v>
      </c>
      <c r="T71" s="92">
        <f t="shared" si="27"/>
        <v>0</v>
      </c>
    </row>
    <row r="72" spans="1:20" ht="11.25">
      <c r="A72" s="89"/>
      <c r="B72" s="99" t="s">
        <v>28</v>
      </c>
      <c r="C72" s="219" t="s">
        <v>743</v>
      </c>
      <c r="D72" s="90"/>
      <c r="E72" s="395"/>
      <c r="F72" s="395"/>
      <c r="G72" s="395"/>
      <c r="H72" s="395"/>
      <c r="I72" s="395"/>
      <c r="J72" s="395"/>
      <c r="K72" s="395"/>
      <c r="L72" s="395"/>
      <c r="M72" s="396"/>
      <c r="N72" s="396"/>
      <c r="O72" s="396"/>
      <c r="P72" s="468"/>
      <c r="Q72" s="361">
        <f t="shared" si="24"/>
        <v>0</v>
      </c>
      <c r="R72" s="91">
        <f t="shared" si="25"/>
        <v>0</v>
      </c>
      <c r="S72" s="91">
        <f t="shared" si="26"/>
        <v>0</v>
      </c>
      <c r="T72" s="92">
        <f t="shared" si="27"/>
        <v>0</v>
      </c>
    </row>
    <row r="73" spans="1:20" ht="11.25">
      <c r="A73" s="89"/>
      <c r="B73" s="99" t="s">
        <v>29</v>
      </c>
      <c r="C73" s="219" t="s">
        <v>744</v>
      </c>
      <c r="D73" s="90"/>
      <c r="E73" s="395"/>
      <c r="F73" s="395"/>
      <c r="G73" s="395"/>
      <c r="H73" s="395"/>
      <c r="I73" s="395"/>
      <c r="J73" s="395"/>
      <c r="K73" s="395"/>
      <c r="L73" s="395"/>
      <c r="M73" s="396"/>
      <c r="N73" s="396"/>
      <c r="O73" s="396"/>
      <c r="P73" s="468"/>
      <c r="Q73" s="361">
        <f t="shared" si="24"/>
        <v>0</v>
      </c>
      <c r="R73" s="91">
        <f t="shared" si="25"/>
        <v>0</v>
      </c>
      <c r="S73" s="91">
        <f t="shared" si="26"/>
        <v>0</v>
      </c>
      <c r="T73" s="92">
        <f t="shared" si="27"/>
        <v>0</v>
      </c>
    </row>
    <row r="74" spans="1:20" ht="11.25">
      <c r="A74" s="89"/>
      <c r="B74" s="99" t="s">
        <v>30</v>
      </c>
      <c r="C74" s="219" t="s">
        <v>745</v>
      </c>
      <c r="D74" s="90"/>
      <c r="E74" s="395"/>
      <c r="F74" s="395"/>
      <c r="G74" s="395"/>
      <c r="H74" s="395"/>
      <c r="I74" s="395"/>
      <c r="J74" s="395"/>
      <c r="K74" s="395"/>
      <c r="L74" s="395"/>
      <c r="M74" s="396">
        <v>4580</v>
      </c>
      <c r="N74" s="396"/>
      <c r="O74" s="396"/>
      <c r="P74" s="468"/>
      <c r="Q74" s="361">
        <f t="shared" si="24"/>
        <v>0</v>
      </c>
      <c r="R74" s="91">
        <f t="shared" si="25"/>
        <v>0</v>
      </c>
      <c r="S74" s="91">
        <f t="shared" si="26"/>
        <v>0</v>
      </c>
      <c r="T74" s="92">
        <f t="shared" si="27"/>
        <v>0</v>
      </c>
    </row>
    <row r="75" spans="1:20" ht="11.25">
      <c r="A75" s="89"/>
      <c r="B75" s="99" t="s">
        <v>31</v>
      </c>
      <c r="C75" s="219" t="s">
        <v>746</v>
      </c>
      <c r="D75" s="90"/>
      <c r="E75" s="395"/>
      <c r="F75" s="395"/>
      <c r="G75" s="395"/>
      <c r="H75" s="395"/>
      <c r="I75" s="395"/>
      <c r="J75" s="395"/>
      <c r="K75" s="395"/>
      <c r="L75" s="395"/>
      <c r="M75" s="396"/>
      <c r="N75" s="396"/>
      <c r="O75" s="396"/>
      <c r="P75" s="468"/>
      <c r="Q75" s="361">
        <f t="shared" si="24"/>
        <v>0</v>
      </c>
      <c r="R75" s="91">
        <f t="shared" si="25"/>
        <v>0</v>
      </c>
      <c r="S75" s="91">
        <f t="shared" si="26"/>
        <v>0</v>
      </c>
      <c r="T75" s="92">
        <f t="shared" si="27"/>
        <v>0</v>
      </c>
    </row>
    <row r="76" spans="1:20" ht="11.25">
      <c r="A76" s="89" t="s">
        <v>234</v>
      </c>
      <c r="B76" s="90" t="s">
        <v>235</v>
      </c>
      <c r="C76" s="219" t="s">
        <v>747</v>
      </c>
      <c r="D76" s="90" t="s">
        <v>157</v>
      </c>
      <c r="E76" s="395"/>
      <c r="F76" s="395"/>
      <c r="G76" s="395"/>
      <c r="H76" s="395"/>
      <c r="I76" s="395"/>
      <c r="J76" s="395"/>
      <c r="K76" s="395"/>
      <c r="L76" s="395"/>
      <c r="M76" s="396"/>
      <c r="N76" s="396"/>
      <c r="O76" s="396"/>
      <c r="P76" s="468"/>
      <c r="Q76" s="361">
        <f t="shared" si="24"/>
        <v>0</v>
      </c>
      <c r="R76" s="91">
        <f t="shared" si="25"/>
        <v>0</v>
      </c>
      <c r="S76" s="91">
        <f t="shared" si="26"/>
        <v>0</v>
      </c>
      <c r="T76" s="92">
        <f t="shared" si="27"/>
        <v>0</v>
      </c>
    </row>
    <row r="77" spans="1:21" ht="22.5">
      <c r="A77" s="89" t="s">
        <v>236</v>
      </c>
      <c r="B77" s="90" t="s">
        <v>237</v>
      </c>
      <c r="C77" s="219" t="s">
        <v>748</v>
      </c>
      <c r="D77" s="90" t="s">
        <v>157</v>
      </c>
      <c r="E77" s="395">
        <v>184</v>
      </c>
      <c r="F77" s="395"/>
      <c r="G77" s="395">
        <v>208.429</v>
      </c>
      <c r="H77" s="395"/>
      <c r="I77" s="395">
        <v>191.71</v>
      </c>
      <c r="J77" s="395"/>
      <c r="K77" s="395">
        <v>280</v>
      </c>
      <c r="L77" s="395"/>
      <c r="M77" s="396">
        <v>250</v>
      </c>
      <c r="N77" s="396"/>
      <c r="O77" s="396"/>
      <c r="P77" s="468"/>
      <c r="Q77" s="361">
        <f t="shared" si="24"/>
        <v>130.40529967137863</v>
      </c>
      <c r="R77" s="91">
        <f t="shared" si="25"/>
        <v>0</v>
      </c>
      <c r="S77" s="91">
        <f t="shared" si="26"/>
        <v>135.8695652173913</v>
      </c>
      <c r="T77" s="92">
        <f t="shared" si="27"/>
        <v>0</v>
      </c>
      <c r="U77" s="459"/>
    </row>
    <row r="78" spans="1:20" ht="11.25">
      <c r="A78" s="89" t="s">
        <v>238</v>
      </c>
      <c r="B78" s="90" t="s">
        <v>239</v>
      </c>
      <c r="C78" s="219" t="s">
        <v>749</v>
      </c>
      <c r="D78" s="90" t="s">
        <v>157</v>
      </c>
      <c r="E78" s="395"/>
      <c r="F78" s="395"/>
      <c r="G78" s="395"/>
      <c r="H78" s="395"/>
      <c r="I78" s="395"/>
      <c r="J78" s="395"/>
      <c r="K78" s="395"/>
      <c r="L78" s="395"/>
      <c r="M78" s="396"/>
      <c r="N78" s="396"/>
      <c r="O78" s="396"/>
      <c r="P78" s="468"/>
      <c r="Q78" s="361">
        <f t="shared" si="24"/>
        <v>0</v>
      </c>
      <c r="R78" s="91">
        <f t="shared" si="25"/>
        <v>0</v>
      </c>
      <c r="S78" s="91">
        <f t="shared" si="26"/>
        <v>0</v>
      </c>
      <c r="T78" s="92">
        <f t="shared" si="27"/>
        <v>0</v>
      </c>
    </row>
    <row r="79" spans="1:20" ht="11.25">
      <c r="A79" s="89" t="s">
        <v>240</v>
      </c>
      <c r="B79" s="90" t="s">
        <v>241</v>
      </c>
      <c r="C79" s="219" t="s">
        <v>750</v>
      </c>
      <c r="D79" s="90" t="s">
        <v>157</v>
      </c>
      <c r="E79" s="395">
        <v>182.32</v>
      </c>
      <c r="F79" s="395"/>
      <c r="G79" s="395"/>
      <c r="H79" s="395"/>
      <c r="I79" s="395">
        <v>189.97</v>
      </c>
      <c r="J79" s="395"/>
      <c r="K79" s="395">
        <v>189.97</v>
      </c>
      <c r="L79" s="395"/>
      <c r="M79" s="396">
        <v>189.97</v>
      </c>
      <c r="N79" s="396"/>
      <c r="O79" s="396"/>
      <c r="P79" s="468"/>
      <c r="Q79" s="361">
        <f t="shared" si="24"/>
        <v>100</v>
      </c>
      <c r="R79" s="91">
        <f t="shared" si="25"/>
        <v>0</v>
      </c>
      <c r="S79" s="91">
        <f t="shared" si="26"/>
        <v>104.19591926283458</v>
      </c>
      <c r="T79" s="92">
        <f t="shared" si="27"/>
        <v>0</v>
      </c>
    </row>
    <row r="80" spans="1:20" ht="11.25">
      <c r="A80" s="89"/>
      <c r="B80" s="90"/>
      <c r="C80" s="219"/>
      <c r="D80" s="90"/>
      <c r="E80" s="105"/>
      <c r="F80" s="105"/>
      <c r="G80" s="105"/>
      <c r="H80" s="105"/>
      <c r="I80" s="105"/>
      <c r="J80" s="105"/>
      <c r="K80" s="105"/>
      <c r="L80" s="105"/>
      <c r="M80" s="353"/>
      <c r="N80" s="353"/>
      <c r="O80" s="353"/>
      <c r="P80" s="106"/>
      <c r="Q80" s="108"/>
      <c r="R80" s="105"/>
      <c r="S80" s="105"/>
      <c r="T80" s="106"/>
    </row>
    <row r="81" spans="1:20" ht="22.5">
      <c r="A81" s="89"/>
      <c r="B81" s="90" t="s">
        <v>242</v>
      </c>
      <c r="C81" s="219" t="s">
        <v>751</v>
      </c>
      <c r="D81" s="90" t="s">
        <v>157</v>
      </c>
      <c r="E81" s="399">
        <v>1518.57</v>
      </c>
      <c r="F81" s="399">
        <f aca="true" t="shared" si="29" ref="F81:P81">F20</f>
        <v>0</v>
      </c>
      <c r="G81" s="399">
        <f t="shared" si="29"/>
        <v>1730.5509826674</v>
      </c>
      <c r="H81" s="399">
        <f t="shared" si="29"/>
        <v>0</v>
      </c>
      <c r="I81" s="399">
        <f t="shared" si="29"/>
        <v>2104.38</v>
      </c>
      <c r="J81" s="399">
        <f>J20</f>
        <v>0</v>
      </c>
      <c r="K81" s="399">
        <f t="shared" si="29"/>
        <v>2739.2430615831745</v>
      </c>
      <c r="L81" s="399">
        <f t="shared" si="29"/>
        <v>2739.2430615831745</v>
      </c>
      <c r="M81" s="399">
        <f>M20</f>
        <v>3334.121317286632</v>
      </c>
      <c r="N81" s="399">
        <f t="shared" si="29"/>
        <v>0</v>
      </c>
      <c r="O81" s="399">
        <f t="shared" si="29"/>
        <v>0</v>
      </c>
      <c r="P81" s="399">
        <f t="shared" si="29"/>
        <v>3334.121317286632</v>
      </c>
      <c r="Q81" s="361">
        <f>IF(I81=0,0,(M81/I81*100))</f>
        <v>158.4372269878364</v>
      </c>
      <c r="R81" s="91">
        <f t="shared" si="25"/>
        <v>121.71688464037365</v>
      </c>
      <c r="S81" s="91">
        <f>IF(E81=0,0,(M81/E81*100))</f>
        <v>219.55664324243412</v>
      </c>
      <c r="T81" s="92">
        <f>IF(H81=0,0,(M81/H81*100))</f>
        <v>0</v>
      </c>
    </row>
    <row r="82" spans="1:20" ht="11.25">
      <c r="A82" s="89"/>
      <c r="B82" s="90"/>
      <c r="C82" s="219"/>
      <c r="D82" s="90"/>
      <c r="E82" s="105"/>
      <c r="F82" s="105"/>
      <c r="G82" s="105"/>
      <c r="H82" s="105"/>
      <c r="I82" s="105"/>
      <c r="J82" s="105"/>
      <c r="K82" s="105"/>
      <c r="L82" s="105"/>
      <c r="M82" s="353"/>
      <c r="N82" s="353"/>
      <c r="O82" s="353"/>
      <c r="P82" s="106"/>
      <c r="Q82" s="108"/>
      <c r="R82" s="105"/>
      <c r="S82" s="105"/>
      <c r="T82" s="106"/>
    </row>
    <row r="83" spans="1:20" ht="11.25">
      <c r="A83" s="89" t="s">
        <v>243</v>
      </c>
      <c r="B83" s="90" t="s">
        <v>244</v>
      </c>
      <c r="C83" s="219" t="s">
        <v>396</v>
      </c>
      <c r="D83" s="90" t="s">
        <v>157</v>
      </c>
      <c r="E83" s="91">
        <f aca="true" t="shared" si="30" ref="E83:P83">(E70+E20-E81)/(100-E120)*100</f>
        <v>457.89999999999986</v>
      </c>
      <c r="F83" s="91">
        <f>(F70+F20-F81)/(100-F120)*100</f>
        <v>0</v>
      </c>
      <c r="G83" s="91">
        <f>(G70+G20-G81)/(100-G120)*100</f>
        <v>260.5362500000001</v>
      </c>
      <c r="H83" s="91">
        <f t="shared" si="30"/>
        <v>0</v>
      </c>
      <c r="I83" s="91">
        <f t="shared" si="30"/>
        <v>477.0999999999998</v>
      </c>
      <c r="J83" s="91">
        <f>(J70+J20-J81)/(100-J120)*100</f>
        <v>0</v>
      </c>
      <c r="K83" s="91">
        <f>(K70+K20-K81)/(100-K120)*100</f>
        <v>587.4625000000003</v>
      </c>
      <c r="L83" s="91">
        <f t="shared" si="30"/>
        <v>0</v>
      </c>
      <c r="M83" s="348">
        <f t="shared" si="30"/>
        <v>6274.9625</v>
      </c>
      <c r="N83" s="348">
        <f>(N70+N20-N81)/(100-N120)*100</f>
        <v>0</v>
      </c>
      <c r="O83" s="348">
        <f>(O70+O20-O81)/(100-O120)*100</f>
        <v>0</v>
      </c>
      <c r="P83" s="348">
        <f t="shared" si="30"/>
        <v>0</v>
      </c>
      <c r="Q83" s="361">
        <f aca="true" t="shared" si="31" ref="Q83:Q88">IF(I83=0,0,(M83/I83*100))</f>
        <v>1315.2300356319436</v>
      </c>
      <c r="R83" s="91">
        <f t="shared" si="25"/>
        <v>0</v>
      </c>
      <c r="S83" s="91">
        <f aca="true" t="shared" si="32" ref="S83:S88">IF(E83=0,0,(M83/E83*100))</f>
        <v>1370.3783577200265</v>
      </c>
      <c r="T83" s="92">
        <f aca="true" t="shared" si="33" ref="T83:T88">IF(H83=0,0,(M83/H83*100))</f>
        <v>0</v>
      </c>
    </row>
    <row r="84" spans="1:20" ht="11.25">
      <c r="A84" s="89" t="s">
        <v>245</v>
      </c>
      <c r="B84" s="90" t="s">
        <v>246</v>
      </c>
      <c r="C84" s="219" t="s">
        <v>698</v>
      </c>
      <c r="D84" s="90" t="s">
        <v>157</v>
      </c>
      <c r="E84" s="91">
        <f aca="true" t="shared" si="34" ref="E84:P84">E83*E120/100</f>
        <v>91.57999999999997</v>
      </c>
      <c r="F84" s="91">
        <f>F83*F120/100</f>
        <v>0</v>
      </c>
      <c r="G84" s="91">
        <f>G83*G120/100</f>
        <v>52.10725000000002</v>
      </c>
      <c r="H84" s="91">
        <f t="shared" si="34"/>
        <v>0</v>
      </c>
      <c r="I84" s="91">
        <f t="shared" si="34"/>
        <v>95.41999999999996</v>
      </c>
      <c r="J84" s="91">
        <f>J83*J120/100</f>
        <v>0</v>
      </c>
      <c r="K84" s="91">
        <f>K83*K120/100</f>
        <v>117.49250000000008</v>
      </c>
      <c r="L84" s="91">
        <f t="shared" si="34"/>
        <v>0</v>
      </c>
      <c r="M84" s="348">
        <f t="shared" si="34"/>
        <v>1254.9925</v>
      </c>
      <c r="N84" s="348">
        <f>N83*N120/100</f>
        <v>0</v>
      </c>
      <c r="O84" s="348">
        <f>O83*O120/100</f>
        <v>0</v>
      </c>
      <c r="P84" s="348">
        <f t="shared" si="34"/>
        <v>0</v>
      </c>
      <c r="Q84" s="361">
        <f t="shared" si="31"/>
        <v>1315.2300356319436</v>
      </c>
      <c r="R84" s="91">
        <f t="shared" si="25"/>
        <v>0</v>
      </c>
      <c r="S84" s="91">
        <f t="shared" si="32"/>
        <v>1370.3783577200268</v>
      </c>
      <c r="T84" s="92">
        <f t="shared" si="33"/>
        <v>0</v>
      </c>
    </row>
    <row r="85" spans="1:20" ht="11.25">
      <c r="A85" s="89"/>
      <c r="B85" s="99" t="s">
        <v>28</v>
      </c>
      <c r="C85" s="219" t="s">
        <v>752</v>
      </c>
      <c r="D85" s="90"/>
      <c r="E85" s="395"/>
      <c r="F85" s="395"/>
      <c r="G85" s="395"/>
      <c r="H85" s="395"/>
      <c r="I85" s="395"/>
      <c r="J85" s="395"/>
      <c r="K85" s="395"/>
      <c r="L85" s="395"/>
      <c r="M85" s="348">
        <f>IF(M123=0,0,M72/(1-M$120/100)*M$120/100+((M$83-M$71/(1-M$120/100))*M$120/100)*M124/M$123)</f>
        <v>0</v>
      </c>
      <c r="N85" s="348">
        <f>IF(N123=0,0,N72/(1-N$120/100)*N$120/100+((N$83-N$71/(1-N$120/100))*N$120/100)*N124/N$123)</f>
        <v>0</v>
      </c>
      <c r="O85" s="348">
        <f>IF(O123=0,0,O72/(1-O$120/100)*O$120/100+((O$83-O$71/(1-O$120/100))*O$120/100)*O124/O$123)</f>
        <v>0</v>
      </c>
      <c r="P85" s="348">
        <f>IF(P123=0,0,P72/(1-P$120/100)*P$120/100+((P$83-P$71/(1-P$120/100))*P$120/100)*P124/P$123)</f>
        <v>0</v>
      </c>
      <c r="Q85" s="361">
        <f t="shared" si="31"/>
        <v>0</v>
      </c>
      <c r="R85" s="91">
        <f t="shared" si="25"/>
        <v>0</v>
      </c>
      <c r="S85" s="91">
        <f t="shared" si="32"/>
        <v>0</v>
      </c>
      <c r="T85" s="92">
        <f t="shared" si="33"/>
        <v>0</v>
      </c>
    </row>
    <row r="86" spans="1:20" ht="11.25">
      <c r="A86" s="89"/>
      <c r="B86" s="99" t="s">
        <v>29</v>
      </c>
      <c r="C86" s="219" t="s">
        <v>753</v>
      </c>
      <c r="D86" s="90"/>
      <c r="E86" s="395">
        <v>6.33</v>
      </c>
      <c r="F86" s="395"/>
      <c r="G86" s="395"/>
      <c r="H86" s="395"/>
      <c r="I86" s="395">
        <v>6.63</v>
      </c>
      <c r="J86" s="395"/>
      <c r="K86" s="395"/>
      <c r="L86" s="395"/>
      <c r="M86" s="348">
        <f>IF(M123=0,0,M73/(1-M$120/100)*M$120/100+((M$83-M$71/(1-M$120/100))*M$120/100)*M125/M$123)</f>
        <v>12.042135723538498</v>
      </c>
      <c r="N86" s="348">
        <f>IF(N123=0,0,N73/(1-N$120/100)*N$120/100+((N$83-N$71/(1-N$120/100))*N$120/100)*N125/N$123)</f>
        <v>0</v>
      </c>
      <c r="O86" s="348">
        <f>IF(O123=0,0,O73/(1-O$120/100)*O$120/100+((O$83-O$71/(1-O$120/100))*O$120/100)*O125/O$123)</f>
        <v>0</v>
      </c>
      <c r="P86" s="348">
        <f>IF(P123=0,0,P73/(1-P$120/100)*P$120/100+((P$83-P$71/(1-P$120/100))*P$120/100)*P125/P$123)</f>
        <v>0</v>
      </c>
      <c r="Q86" s="361">
        <f t="shared" si="31"/>
        <v>181.63100638821265</v>
      </c>
      <c r="R86" s="91">
        <f t="shared" si="25"/>
        <v>0</v>
      </c>
      <c r="S86" s="91">
        <f t="shared" si="32"/>
        <v>190.2391109563744</v>
      </c>
      <c r="T86" s="92">
        <f t="shared" si="33"/>
        <v>0</v>
      </c>
    </row>
    <row r="87" spans="1:20" ht="11.25">
      <c r="A87" s="89"/>
      <c r="B87" s="99" t="s">
        <v>30</v>
      </c>
      <c r="C87" s="219" t="s">
        <v>754</v>
      </c>
      <c r="D87" s="90"/>
      <c r="E87" s="395">
        <v>71.73</v>
      </c>
      <c r="F87" s="395"/>
      <c r="G87" s="395"/>
      <c r="H87" s="395"/>
      <c r="I87" s="395">
        <v>75.59</v>
      </c>
      <c r="J87" s="395"/>
      <c r="K87" s="395"/>
      <c r="L87" s="395"/>
      <c r="M87" s="348">
        <f>IF(M123=0,0,M74/(1-M$120/100)*M$120/100+((M$83-M$71/(1-M$120/100))*M$120/100)*M126/M$123)</f>
        <v>1228.8467645628923</v>
      </c>
      <c r="N87" s="348">
        <f>IF(N123=0,0,N74/(1-N$120/100)*N$120/100+((N$83-N$71/(1-N$120/100))*N$120/100)*N126/N$123)</f>
        <v>0</v>
      </c>
      <c r="O87" s="348">
        <f>IF(O123=0,0,O74/(1-O$120/100)*O$120/100+((O$83-O$71/(1-O$120/100))*O$120/100)*O126/O$123)</f>
        <v>0</v>
      </c>
      <c r="P87" s="348">
        <f>IF(P123=0,0,P74/(1-P$120/100)*P$120/100+((P$83-P$71/(1-P$120/100))*P$120/100)*P126/P$123)</f>
        <v>0</v>
      </c>
      <c r="Q87" s="361">
        <f t="shared" si="31"/>
        <v>1625.6737194905309</v>
      </c>
      <c r="R87" s="91">
        <f t="shared" si="25"/>
        <v>0</v>
      </c>
      <c r="S87" s="91">
        <f t="shared" si="32"/>
        <v>1713.155952269472</v>
      </c>
      <c r="T87" s="92">
        <f t="shared" si="33"/>
        <v>0</v>
      </c>
    </row>
    <row r="88" spans="1:20" ht="11.25">
      <c r="A88" s="89"/>
      <c r="B88" s="99" t="s">
        <v>31</v>
      </c>
      <c r="C88" s="219" t="s">
        <v>755</v>
      </c>
      <c r="D88" s="90"/>
      <c r="E88" s="395">
        <v>13.52</v>
      </c>
      <c r="F88" s="395"/>
      <c r="G88" s="395"/>
      <c r="H88" s="395"/>
      <c r="I88" s="395">
        <v>13.2</v>
      </c>
      <c r="J88" s="395"/>
      <c r="K88" s="395"/>
      <c r="L88" s="395"/>
      <c r="M88" s="348">
        <f>IF(M123=0,0,M75/(1-M$120/100)*M$120/100+((M$83-M$71/(1-M$120/100))*M$120/100)*M127/M$123)</f>
        <v>14.10359971356914</v>
      </c>
      <c r="N88" s="348">
        <f>IF(N123=0,0,N75/(1-N$120/100)*N$120/100+((N$83-N$71/(1-N$120/100))*N$120/100)*N127/N$123)</f>
        <v>0</v>
      </c>
      <c r="O88" s="348">
        <f>IF(O123=0,0,O75/(1-O$120/100)*O$120/100+((O$83-O$71/(1-O$120/100))*O$120/100)*O127/O$123)</f>
        <v>0</v>
      </c>
      <c r="P88" s="348">
        <f>IF(P123=0,0,P75/(1-P$120/100)*P$120/100+((P$83-P$71/(1-P$120/100))*P$120/100)*P127/P$123)</f>
        <v>0</v>
      </c>
      <c r="Q88" s="361">
        <f t="shared" si="31"/>
        <v>106.8454523755238</v>
      </c>
      <c r="R88" s="91">
        <f t="shared" si="25"/>
        <v>0</v>
      </c>
      <c r="S88" s="91">
        <f t="shared" si="32"/>
        <v>104.31656592876584</v>
      </c>
      <c r="T88" s="92">
        <f t="shared" si="33"/>
        <v>0</v>
      </c>
    </row>
    <row r="89" spans="1:20" ht="11.25">
      <c r="A89" s="89"/>
      <c r="B89" s="90"/>
      <c r="C89" s="219"/>
      <c r="D89" s="90"/>
      <c r="E89" s="105"/>
      <c r="F89" s="105"/>
      <c r="G89" s="105"/>
      <c r="H89" s="105"/>
      <c r="I89" s="105"/>
      <c r="J89" s="105"/>
      <c r="K89" s="105"/>
      <c r="L89" s="105"/>
      <c r="M89" s="353"/>
      <c r="N89" s="353"/>
      <c r="O89" s="353"/>
      <c r="P89" s="106"/>
      <c r="Q89" s="108"/>
      <c r="R89" s="105"/>
      <c r="S89" s="105"/>
      <c r="T89" s="106"/>
    </row>
    <row r="90" spans="1:20" ht="11.25">
      <c r="A90" s="89"/>
      <c r="B90" s="90" t="s">
        <v>247</v>
      </c>
      <c r="C90" s="219" t="s">
        <v>756</v>
      </c>
      <c r="D90" s="90" t="s">
        <v>157</v>
      </c>
      <c r="E90" s="395"/>
      <c r="F90" s="395"/>
      <c r="G90" s="395">
        <v>961.714</v>
      </c>
      <c r="H90" s="395"/>
      <c r="I90" s="395">
        <v>-2627.08</v>
      </c>
      <c r="J90" s="395"/>
      <c r="K90" s="395"/>
      <c r="L90" s="395"/>
      <c r="M90" s="396">
        <v>3013.21</v>
      </c>
      <c r="N90" s="396"/>
      <c r="O90" s="396"/>
      <c r="P90" s="468"/>
      <c r="Q90" s="361">
        <f>IF(I90=0,0,(M90/I90*100))</f>
        <v>-114.6980678167395</v>
      </c>
      <c r="R90" s="91">
        <f t="shared" si="25"/>
        <v>0</v>
      </c>
      <c r="S90" s="91">
        <f>IF(E90=0,0,(M90/E90*100))</f>
        <v>0</v>
      </c>
      <c r="T90" s="92">
        <f>IF(H90=0,0,(M90/H90*100))</f>
        <v>0</v>
      </c>
    </row>
    <row r="91" spans="1:20" ht="11.25">
      <c r="A91" s="89"/>
      <c r="B91" s="90"/>
      <c r="C91" s="219"/>
      <c r="D91" s="90"/>
      <c r="E91" s="105"/>
      <c r="F91" s="105"/>
      <c r="G91" s="105"/>
      <c r="H91" s="105"/>
      <c r="I91" s="105"/>
      <c r="J91" s="105"/>
      <c r="K91" s="105"/>
      <c r="L91" s="105"/>
      <c r="M91" s="353"/>
      <c r="N91" s="353"/>
      <c r="O91" s="353"/>
      <c r="P91" s="106"/>
      <c r="Q91" s="108"/>
      <c r="R91" s="105"/>
      <c r="S91" s="105"/>
      <c r="T91" s="106"/>
    </row>
    <row r="92" spans="1:20" ht="11.25">
      <c r="A92" s="89" t="s">
        <v>248</v>
      </c>
      <c r="B92" s="90" t="s">
        <v>249</v>
      </c>
      <c r="C92" s="219" t="s">
        <v>757</v>
      </c>
      <c r="D92" s="90" t="s">
        <v>157</v>
      </c>
      <c r="E92" s="91">
        <f aca="true" t="shared" si="35" ref="E92:P92">E70+E84+E90</f>
        <v>457.9</v>
      </c>
      <c r="F92" s="91">
        <f>F70+F84+F90</f>
        <v>0</v>
      </c>
      <c r="G92" s="91">
        <f>G70+G84+G90</f>
        <v>1222.25025</v>
      </c>
      <c r="H92" s="91">
        <f t="shared" si="35"/>
        <v>0</v>
      </c>
      <c r="I92" s="91">
        <f t="shared" si="35"/>
        <v>-2149.98</v>
      </c>
      <c r="J92" s="91">
        <f>J70+J84+J90</f>
        <v>0</v>
      </c>
      <c r="K92" s="91">
        <f>K70+K84+K90</f>
        <v>587.4625000000001</v>
      </c>
      <c r="L92" s="91">
        <f t="shared" si="35"/>
        <v>0</v>
      </c>
      <c r="M92" s="348">
        <f t="shared" si="35"/>
        <v>9288.1725</v>
      </c>
      <c r="N92" s="348">
        <f>N70+N84+N90</f>
        <v>0</v>
      </c>
      <c r="O92" s="348">
        <f>O70+O84+O90</f>
        <v>0</v>
      </c>
      <c r="P92" s="348">
        <f t="shared" si="35"/>
        <v>0</v>
      </c>
      <c r="Q92" s="361">
        <f>IF(I92=0,0,(M92/I92*100))</f>
        <v>-432.0120419724835</v>
      </c>
      <c r="R92" s="91">
        <f t="shared" si="25"/>
        <v>0</v>
      </c>
      <c r="S92" s="91">
        <f>IF(E92=0,0,(M92/E92*100))</f>
        <v>2028.428150251147</v>
      </c>
      <c r="T92" s="92">
        <f>IF(H92=0,0,(M92/H92*100))</f>
        <v>0</v>
      </c>
    </row>
    <row r="93" spans="1:20" ht="11.25">
      <c r="A93" s="89"/>
      <c r="B93" s="99" t="s">
        <v>28</v>
      </c>
      <c r="C93" s="219" t="s">
        <v>758</v>
      </c>
      <c r="D93" s="90"/>
      <c r="E93" s="91">
        <f aca="true" t="shared" si="36" ref="E93:P93">IF(E123=0,0,(E$92-E$71-E$84)*E124/E$123+E72+E85)</f>
        <v>0</v>
      </c>
      <c r="F93" s="91">
        <f>IF(F123=0,0,(F$92-F$71-F$84)*F124/F$123+F72+F85)</f>
        <v>0</v>
      </c>
      <c r="G93" s="91">
        <f>IF(G123=0,0,(G$92-G$71-G$84)*G124/G$123+G72+G85)</f>
        <v>0</v>
      </c>
      <c r="H93" s="91">
        <f t="shared" si="36"/>
        <v>0</v>
      </c>
      <c r="I93" s="91">
        <f t="shared" si="36"/>
        <v>0</v>
      </c>
      <c r="J93" s="91">
        <f>IF(J123=0,0,(J$92-J$71-J$84)*J124/J$123+J72+J85)</f>
        <v>0</v>
      </c>
      <c r="K93" s="91">
        <f>IF(K123=0,0,(K$92-K$71-K$84)*K124/K$123+K72+K85)</f>
        <v>0</v>
      </c>
      <c r="L93" s="91">
        <f t="shared" si="36"/>
        <v>0</v>
      </c>
      <c r="M93" s="348">
        <f t="shared" si="36"/>
        <v>0</v>
      </c>
      <c r="N93" s="348">
        <f>IF(N123=0,0,(N$92-N$71-N$84)*N124/N$123+N72+N85)</f>
        <v>0</v>
      </c>
      <c r="O93" s="348">
        <f>IF(O123=0,0,(O$92-O$71-O$84)*O124/O$123+O72+O85)</f>
        <v>0</v>
      </c>
      <c r="P93" s="348">
        <f t="shared" si="36"/>
        <v>0</v>
      </c>
      <c r="Q93" s="361">
        <f>IF(I93=0,0,(M93/I93*100))</f>
        <v>0</v>
      </c>
      <c r="R93" s="91">
        <f t="shared" si="25"/>
        <v>0</v>
      </c>
      <c r="S93" s="91">
        <f>IF(E93=0,0,(M93/E93*100))</f>
        <v>0</v>
      </c>
      <c r="T93" s="92">
        <f>IF(H93=0,0,(M93/H93*100))</f>
        <v>0</v>
      </c>
    </row>
    <row r="94" spans="1:20" ht="11.25">
      <c r="A94" s="89"/>
      <c r="B94" s="99" t="s">
        <v>29</v>
      </c>
      <c r="C94" s="219" t="s">
        <v>759</v>
      </c>
      <c r="D94" s="90"/>
      <c r="E94" s="91">
        <f aca="true" t="shared" si="37" ref="E94:P94">IF(E123=0,0,(E$92-E$71-E$84)*E125/E$123+E73+E86)</f>
        <v>31.660094465198164</v>
      </c>
      <c r="F94" s="91">
        <f>IF(F123=0,0,(F$92-F$71-F$84)*F125/F$123+F73+F86)</f>
        <v>0</v>
      </c>
      <c r="G94" s="91">
        <f>IF(G123=0,0,(G$92-G$71-G$84)*G125/G$123+G73+G86)</f>
        <v>81.27622828044298</v>
      </c>
      <c r="H94" s="91">
        <f t="shared" si="37"/>
        <v>0</v>
      </c>
      <c r="I94" s="91">
        <f t="shared" si="37"/>
        <v>-149.33182943529695</v>
      </c>
      <c r="J94" s="91">
        <f>IF(J123=0,0,(J$92-J$71-J$84)*J125/J$123+J73+J86)</f>
        <v>0</v>
      </c>
      <c r="K94" s="91">
        <f>IF(K123=0,0,(K$92-K$71-K$84)*K125/K$123+K73+K86)</f>
        <v>30.58091445397931</v>
      </c>
      <c r="L94" s="91">
        <f t="shared" si="37"/>
        <v>0</v>
      </c>
      <c r="M94" s="348">
        <f t="shared" si="37"/>
        <v>390.10120554928756</v>
      </c>
      <c r="N94" s="348">
        <f>IF(N123=0,0,(N$92-N$71-N$84)*N125/N$123+N73+N86)</f>
        <v>0</v>
      </c>
      <c r="O94" s="348">
        <f>IF(O123=0,0,(O$92-O$71-O$84)*O125/O$123+O73+O86)</f>
        <v>0</v>
      </c>
      <c r="P94" s="348">
        <f t="shared" si="37"/>
        <v>0</v>
      </c>
      <c r="Q94" s="361">
        <f>IF(I94=0,0,(M94/I94*100))</f>
        <v>-261.23111665106336</v>
      </c>
      <c r="R94" s="91">
        <f t="shared" si="25"/>
        <v>0</v>
      </c>
      <c r="S94" s="91">
        <f>IF(E94=0,0,(M94/E94*100))</f>
        <v>1232.1542690850144</v>
      </c>
      <c r="T94" s="92">
        <f>IF(H94=0,0,(M94/H94*100))</f>
        <v>0</v>
      </c>
    </row>
    <row r="95" spans="1:20" ht="11.25">
      <c r="A95" s="89"/>
      <c r="B95" s="99" t="s">
        <v>30</v>
      </c>
      <c r="C95" s="219" t="s">
        <v>760</v>
      </c>
      <c r="D95" s="90"/>
      <c r="E95" s="91">
        <f aca="true" t="shared" si="38" ref="E95:P95">IF(E123=0,0,(E$92-E$71-E$84)*E126/E$123+E74+E87)</f>
        <v>358.6464554081326</v>
      </c>
      <c r="F95" s="91">
        <f>IF(F123=0,0,(F$92-F$71-F$84)*F126/F$123+F74+F87)</f>
        <v>0</v>
      </c>
      <c r="G95" s="91">
        <f>IF(G123=0,0,(G$92-G$71-G$84)*G126/G$123+G74+G87)</f>
        <v>926.9515036284628</v>
      </c>
      <c r="H95" s="91">
        <f t="shared" si="38"/>
        <v>0</v>
      </c>
      <c r="I95" s="91">
        <f t="shared" si="38"/>
        <v>-1703.1472195085137</v>
      </c>
      <c r="J95" s="91">
        <f>IF(J123=0,0,(J$92-J$71-J$84)*J126/J$123+J74+J87)</f>
        <v>0</v>
      </c>
      <c r="K95" s="91">
        <f>IF(K123=0,0,(K$92-K$71-K$84)*K126/K$123+K74+K87)</f>
        <v>378.4670045508039</v>
      </c>
      <c r="L95" s="91">
        <f t="shared" si="38"/>
        <v>0</v>
      </c>
      <c r="M95" s="348">
        <f t="shared" si="38"/>
        <v>8441.189610241358</v>
      </c>
      <c r="N95" s="348">
        <f>IF(N123=0,0,(N$92-N$71-N$84)*N126/N$123+N74+N87)</f>
        <v>0</v>
      </c>
      <c r="O95" s="348">
        <f>IF(O123=0,0,(O$92-O$71-O$84)*O126/O$123+O74+O87)</f>
        <v>0</v>
      </c>
      <c r="P95" s="348">
        <f t="shared" si="38"/>
        <v>0</v>
      </c>
      <c r="Q95" s="361">
        <f>IF(I95=0,0,(M95/I95*100))</f>
        <v>-495.62301564730717</v>
      </c>
      <c r="R95" s="91">
        <f t="shared" si="25"/>
        <v>0</v>
      </c>
      <c r="S95" s="91">
        <f>IF(E95=0,0,(M95/E95*100))</f>
        <v>2353.624156311666</v>
      </c>
      <c r="T95" s="92">
        <f>IF(H95=0,0,(M95/H95*100))</f>
        <v>0</v>
      </c>
    </row>
    <row r="96" spans="1:20" ht="11.25">
      <c r="A96" s="89"/>
      <c r="B96" s="99" t="s">
        <v>31</v>
      </c>
      <c r="C96" s="219" t="s">
        <v>761</v>
      </c>
      <c r="D96" s="90"/>
      <c r="E96" s="91">
        <f aca="true" t="shared" si="39" ref="E96:P96">IF(E123=0,0,(E$92-E$71-E$84)*E127/E$123+E75+E88)</f>
        <v>67.59345012666924</v>
      </c>
      <c r="F96" s="91">
        <f>IF(F123=0,0,(F$92-F$71-F$84)*F127/F$123+F75+F88)</f>
        <v>0</v>
      </c>
      <c r="G96" s="91">
        <f>IF(G123=0,0,(G$92-G$71-G$84)*G127/G$123+G75+G88)</f>
        <v>161.91526809109436</v>
      </c>
      <c r="H96" s="91">
        <f t="shared" si="39"/>
        <v>0</v>
      </c>
      <c r="I96" s="91">
        <f t="shared" si="39"/>
        <v>-297.50095105618993</v>
      </c>
      <c r="J96" s="91">
        <f>IF(J123=0,0,(J$92-J$71-J$84)*J127/J$123+J75+J88)</f>
        <v>0</v>
      </c>
      <c r="K96" s="91">
        <f>IF(K123=0,0,(K$92-K$71-K$84)*K127/K$123+K75+K88)</f>
        <v>60.92208099521686</v>
      </c>
      <c r="L96" s="91">
        <f t="shared" si="39"/>
        <v>0</v>
      </c>
      <c r="M96" s="348">
        <f t="shared" si="39"/>
        <v>456.88168420935506</v>
      </c>
      <c r="N96" s="348">
        <f>IF(N123=0,0,(N$92-N$71-N$84)*N127/N$123+N75+N88)</f>
        <v>0</v>
      </c>
      <c r="O96" s="348">
        <f>IF(O123=0,0,(O$92-O$71-O$84)*O127/O$123+O75+O88)</f>
        <v>0</v>
      </c>
      <c r="P96" s="348">
        <f t="shared" si="39"/>
        <v>0</v>
      </c>
      <c r="Q96" s="361">
        <f>IF(I96=0,0,(M96/I96*100))</f>
        <v>-153.57318441750542</v>
      </c>
      <c r="R96" s="91">
        <f t="shared" si="25"/>
        <v>0</v>
      </c>
      <c r="S96" s="91">
        <f>IF(E96=0,0,(M96/E96*100))</f>
        <v>675.9259711601712</v>
      </c>
      <c r="T96" s="92">
        <f>IF(H96=0,0,(M96/H96*100))</f>
        <v>0</v>
      </c>
    </row>
    <row r="97" spans="1:20" ht="11.25">
      <c r="A97" s="89"/>
      <c r="B97" s="90"/>
      <c r="C97" s="219"/>
      <c r="D97" s="90"/>
      <c r="E97" s="105"/>
      <c r="F97" s="105"/>
      <c r="G97" s="105"/>
      <c r="H97" s="105"/>
      <c r="I97" s="105"/>
      <c r="J97" s="105"/>
      <c r="K97" s="105"/>
      <c r="L97" s="105"/>
      <c r="M97" s="353"/>
      <c r="N97" s="353"/>
      <c r="O97" s="353"/>
      <c r="P97" s="106"/>
      <c r="Q97" s="108"/>
      <c r="R97" s="105"/>
      <c r="S97" s="105"/>
      <c r="T97" s="106"/>
    </row>
    <row r="98" spans="1:20" s="107" customFormat="1" ht="11.25">
      <c r="A98" s="94" t="s">
        <v>250</v>
      </c>
      <c r="B98" s="95" t="s">
        <v>251</v>
      </c>
      <c r="C98" s="219" t="s">
        <v>762</v>
      </c>
      <c r="D98" s="95" t="s">
        <v>157</v>
      </c>
      <c r="E98" s="96">
        <f aca="true" t="shared" si="40" ref="E98:P98">E64+E92</f>
        <v>42670.76167620086</v>
      </c>
      <c r="F98" s="96">
        <f>F64+F92</f>
        <v>0</v>
      </c>
      <c r="G98" s="96">
        <f t="shared" si="40"/>
        <v>46986.49199035705</v>
      </c>
      <c r="H98" s="96">
        <f t="shared" si="40"/>
        <v>0</v>
      </c>
      <c r="I98" s="96">
        <f t="shared" si="40"/>
        <v>42670.79740240548</v>
      </c>
      <c r="J98" s="96">
        <f>J64+J92</f>
        <v>0</v>
      </c>
      <c r="K98" s="96">
        <f t="shared" si="40"/>
        <v>50594.44781595115</v>
      </c>
      <c r="L98" s="96">
        <f t="shared" si="40"/>
        <v>2739.2430615831745</v>
      </c>
      <c r="M98" s="349">
        <f t="shared" si="40"/>
        <v>64060.849165172345</v>
      </c>
      <c r="N98" s="349">
        <f t="shared" si="40"/>
        <v>0</v>
      </c>
      <c r="O98" s="349">
        <f t="shared" si="40"/>
        <v>0</v>
      </c>
      <c r="P98" s="349">
        <f t="shared" si="40"/>
        <v>3334.121317286632</v>
      </c>
      <c r="Q98" s="361">
        <f>IF(I98=0,0,(M98/I98*100))</f>
        <v>150.12808071301956</v>
      </c>
      <c r="R98" s="91">
        <f t="shared" si="25"/>
        <v>2338.633254697292</v>
      </c>
      <c r="S98" s="91">
        <f>IF(E98=0,0,(M98/E98*100))</f>
        <v>150.12820640814004</v>
      </c>
      <c r="T98" s="92">
        <f>IF(H98=0,0,(M98/H98*100))</f>
        <v>0</v>
      </c>
    </row>
    <row r="99" spans="1:20" s="111" customFormat="1" ht="11.25">
      <c r="A99" s="108"/>
      <c r="B99" s="109"/>
      <c r="C99" s="219"/>
      <c r="D99" s="109"/>
      <c r="E99" s="97"/>
      <c r="F99" s="97"/>
      <c r="G99" s="97"/>
      <c r="H99" s="97"/>
      <c r="I99" s="97"/>
      <c r="J99" s="97"/>
      <c r="K99" s="97"/>
      <c r="L99" s="97"/>
      <c r="M99" s="354"/>
      <c r="N99" s="354"/>
      <c r="O99" s="354"/>
      <c r="P99" s="343"/>
      <c r="Q99" s="362"/>
      <c r="R99" s="110"/>
      <c r="S99" s="110"/>
      <c r="T99" s="343"/>
    </row>
    <row r="100" spans="1:20" ht="11.25">
      <c r="A100" s="89"/>
      <c r="B100" s="90" t="s">
        <v>252</v>
      </c>
      <c r="C100" s="219"/>
      <c r="D100" s="90"/>
      <c r="E100" s="112"/>
      <c r="F100" s="112"/>
      <c r="G100" s="112"/>
      <c r="H100" s="112"/>
      <c r="I100" s="112"/>
      <c r="J100" s="112"/>
      <c r="K100" s="112"/>
      <c r="L100" s="112"/>
      <c r="M100" s="355"/>
      <c r="N100" s="355"/>
      <c r="O100" s="355"/>
      <c r="P100" s="113"/>
      <c r="Q100" s="363"/>
      <c r="R100" s="112"/>
      <c r="S100" s="112"/>
      <c r="T100" s="113"/>
    </row>
    <row r="101" spans="1:20" ht="11.25">
      <c r="A101" s="89" t="s">
        <v>253</v>
      </c>
      <c r="B101" s="90" t="s">
        <v>254</v>
      </c>
      <c r="C101" s="219" t="s">
        <v>763</v>
      </c>
      <c r="D101" s="90" t="s">
        <v>255</v>
      </c>
      <c r="E101" s="91">
        <f aca="true" t="shared" si="41" ref="E101:P101">IF(E64=0,0,(E92/E64*100))</f>
        <v>1.0847404838657477</v>
      </c>
      <c r="F101" s="91">
        <f>IF(F64=0,0,(F92/F64*100))</f>
        <v>0</v>
      </c>
      <c r="G101" s="91">
        <f>IF(G64=0,0,(G92/G64*100))</f>
        <v>2.6707538539246958</v>
      </c>
      <c r="H101" s="91">
        <f t="shared" si="41"/>
        <v>0</v>
      </c>
      <c r="I101" s="91">
        <f t="shared" si="41"/>
        <v>-4.796837816303947</v>
      </c>
      <c r="J101" s="91">
        <f>IF(J64=0,0,(J92/J64*100))</f>
        <v>0</v>
      </c>
      <c r="K101" s="91">
        <f>IF(K64=0,0,(K92/K64*100))</f>
        <v>1.1747608784819352</v>
      </c>
      <c r="L101" s="91">
        <f t="shared" si="41"/>
        <v>0</v>
      </c>
      <c r="M101" s="348">
        <f t="shared" si="41"/>
        <v>16.957675004234293</v>
      </c>
      <c r="N101" s="348">
        <f>IF(N64=0,0,(N92/N64*100))</f>
        <v>0</v>
      </c>
      <c r="O101" s="348">
        <f>IF(O64=0,0,(O92/O64*100))</f>
        <v>0</v>
      </c>
      <c r="P101" s="348">
        <f t="shared" si="41"/>
        <v>0</v>
      </c>
      <c r="Q101" s="361">
        <f>IF(I101=0,0,(M101/I101*100))</f>
        <v>-353.5177892943751</v>
      </c>
      <c r="R101" s="91">
        <f t="shared" si="25"/>
        <v>0</v>
      </c>
      <c r="S101" s="91">
        <f>IF(E101=0,0,(M101/E101*100))</f>
        <v>1563.2932721199193</v>
      </c>
      <c r="T101" s="92">
        <f>IF(H101=0,0,(M101/H101*100))</f>
        <v>0</v>
      </c>
    </row>
    <row r="102" spans="1:20" ht="11.25">
      <c r="A102" s="89" t="s">
        <v>256</v>
      </c>
      <c r="B102" s="90" t="s">
        <v>257</v>
      </c>
      <c r="C102" s="219" t="s">
        <v>764</v>
      </c>
      <c r="D102" s="90" t="s">
        <v>258</v>
      </c>
      <c r="E102" s="91">
        <f aca="true" t="shared" si="42" ref="E102:P102">IF(E123=0,0,E98/E123)</f>
        <v>22.90285203110957</v>
      </c>
      <c r="F102" s="91">
        <f>IF(F123=0,0,F98/F123)</f>
        <v>0</v>
      </c>
      <c r="G102" s="91">
        <f>IF(G123=0,0,G98/G123)</f>
        <v>25.332649689104397</v>
      </c>
      <c r="H102" s="91">
        <f t="shared" si="42"/>
        <v>0</v>
      </c>
      <c r="I102" s="91">
        <f t="shared" si="42"/>
        <v>23.00585374136312</v>
      </c>
      <c r="J102" s="91">
        <f>IF(J123=0,0,J98/J123)</f>
        <v>0</v>
      </c>
      <c r="K102" s="91">
        <f>IF(K123=0,0,K98/K123)</f>
        <v>25.55442923825865</v>
      </c>
      <c r="L102" s="91">
        <f t="shared" si="42"/>
        <v>0</v>
      </c>
      <c r="M102" s="348">
        <f t="shared" si="42"/>
        <v>30.628125064926056</v>
      </c>
      <c r="N102" s="348">
        <f>IF(N123=0,0,N98/N123)</f>
        <v>0</v>
      </c>
      <c r="O102" s="348">
        <f>IF(O123=0,0,O98/O123)</f>
        <v>0</v>
      </c>
      <c r="P102" s="348">
        <f t="shared" si="42"/>
        <v>0</v>
      </c>
      <c r="Q102" s="361">
        <f>IF(I102=0,0,(M102/I102*100))</f>
        <v>133.13187769188744</v>
      </c>
      <c r="R102" s="91">
        <f t="shared" si="25"/>
        <v>0</v>
      </c>
      <c r="S102" s="91">
        <f>IF(E102=0,0,(M102/E102*100))</f>
        <v>133.73061583475734</v>
      </c>
      <c r="T102" s="92">
        <f>IF(H102=0,0,(M102/H102*100))</f>
        <v>0</v>
      </c>
    </row>
    <row r="103" spans="1:20" ht="11.25">
      <c r="A103" s="89"/>
      <c r="B103" s="90"/>
      <c r="C103" s="219"/>
      <c r="D103" s="90"/>
      <c r="E103" s="105"/>
      <c r="F103" s="105"/>
      <c r="G103" s="105"/>
      <c r="H103" s="105"/>
      <c r="I103" s="105"/>
      <c r="J103" s="105"/>
      <c r="K103" s="105"/>
      <c r="L103" s="105"/>
      <c r="M103" s="353"/>
      <c r="N103" s="353"/>
      <c r="O103" s="353"/>
      <c r="P103" s="106"/>
      <c r="Q103" s="108"/>
      <c r="R103" s="105"/>
      <c r="S103" s="105"/>
      <c r="T103" s="106"/>
    </row>
    <row r="104" spans="1:20" ht="11.25">
      <c r="A104" s="89" t="s">
        <v>259</v>
      </c>
      <c r="B104" s="90" t="s">
        <v>260</v>
      </c>
      <c r="C104" s="219" t="s">
        <v>765</v>
      </c>
      <c r="D104" s="90" t="s">
        <v>157</v>
      </c>
      <c r="E104" s="91">
        <f aca="true" t="shared" si="43" ref="E104:P104">E106+E113</f>
        <v>0</v>
      </c>
      <c r="F104" s="91">
        <f>F106+F113</f>
        <v>0</v>
      </c>
      <c r="G104" s="91">
        <f t="shared" si="43"/>
        <v>0</v>
      </c>
      <c r="H104" s="91">
        <f t="shared" si="43"/>
        <v>0</v>
      </c>
      <c r="I104" s="91">
        <f t="shared" si="43"/>
        <v>0</v>
      </c>
      <c r="J104" s="91">
        <f>J106+J113</f>
        <v>0</v>
      </c>
      <c r="K104" s="91">
        <f t="shared" si="43"/>
        <v>0</v>
      </c>
      <c r="L104" s="91">
        <f t="shared" si="43"/>
        <v>0</v>
      </c>
      <c r="M104" s="348">
        <f t="shared" si="43"/>
        <v>4830</v>
      </c>
      <c r="N104" s="348">
        <f t="shared" si="43"/>
        <v>0</v>
      </c>
      <c r="O104" s="348">
        <f t="shared" si="43"/>
        <v>0</v>
      </c>
      <c r="P104" s="348">
        <f t="shared" si="43"/>
        <v>0</v>
      </c>
      <c r="Q104" s="361">
        <f>IF(I104=0,0,(M104/I104*100))</f>
        <v>0</v>
      </c>
      <c r="R104" s="91">
        <f t="shared" si="25"/>
        <v>0</v>
      </c>
      <c r="S104" s="91">
        <f>IF(E104=0,0,(M104/E104*100))</f>
        <v>0</v>
      </c>
      <c r="T104" s="92">
        <f>IF(H104=0,0,(M104/H104*100))</f>
        <v>0</v>
      </c>
    </row>
    <row r="105" spans="1:20" ht="11.25">
      <c r="A105" s="89"/>
      <c r="B105" s="90" t="s">
        <v>261</v>
      </c>
      <c r="C105" s="219"/>
      <c r="D105" s="90"/>
      <c r="E105" s="105"/>
      <c r="F105" s="105"/>
      <c r="G105" s="105"/>
      <c r="H105" s="105"/>
      <c r="I105" s="105"/>
      <c r="J105" s="105"/>
      <c r="K105" s="105"/>
      <c r="L105" s="105"/>
      <c r="M105" s="353"/>
      <c r="N105" s="353"/>
      <c r="O105" s="353"/>
      <c r="P105" s="106"/>
      <c r="Q105" s="108"/>
      <c r="R105" s="105"/>
      <c r="S105" s="105"/>
      <c r="T105" s="106"/>
    </row>
    <row r="106" spans="1:20" ht="11.25">
      <c r="A106" s="89" t="s">
        <v>262</v>
      </c>
      <c r="B106" s="90" t="s">
        <v>263</v>
      </c>
      <c r="C106" s="219" t="s">
        <v>766</v>
      </c>
      <c r="D106" s="90" t="s">
        <v>157</v>
      </c>
      <c r="E106" s="91">
        <f aca="true" t="shared" si="44" ref="E106:P106">SUM(E107:E112)</f>
        <v>0</v>
      </c>
      <c r="F106" s="91">
        <f>SUM(F107:F112)</f>
        <v>0</v>
      </c>
      <c r="G106" s="91">
        <f t="shared" si="44"/>
        <v>0</v>
      </c>
      <c r="H106" s="91">
        <f t="shared" si="44"/>
        <v>0</v>
      </c>
      <c r="I106" s="91">
        <f t="shared" si="44"/>
        <v>0</v>
      </c>
      <c r="J106" s="91">
        <f>SUM(J107:J112)</f>
        <v>0</v>
      </c>
      <c r="K106" s="91">
        <f t="shared" si="44"/>
        <v>0</v>
      </c>
      <c r="L106" s="91">
        <f t="shared" si="44"/>
        <v>0</v>
      </c>
      <c r="M106" s="348">
        <f t="shared" si="44"/>
        <v>4830</v>
      </c>
      <c r="N106" s="348">
        <f t="shared" si="44"/>
        <v>0</v>
      </c>
      <c r="O106" s="348">
        <f t="shared" si="44"/>
        <v>0</v>
      </c>
      <c r="P106" s="348">
        <f t="shared" si="44"/>
        <v>0</v>
      </c>
      <c r="Q106" s="361">
        <f aca="true" t="shared" si="45" ref="Q106:Q117">IF(I106=0,0,(M106/I106*100))</f>
        <v>0</v>
      </c>
      <c r="R106" s="91">
        <f t="shared" si="25"/>
        <v>0</v>
      </c>
      <c r="S106" s="91">
        <f aca="true" t="shared" si="46" ref="S106:S117">IF(E106=0,0,(M106/E106*100))</f>
        <v>0</v>
      </c>
      <c r="T106" s="92">
        <f aca="true" t="shared" si="47" ref="T106:T117">IF(H106=0,0,(M106/H106*100))</f>
        <v>0</v>
      </c>
    </row>
    <row r="107" spans="1:20" ht="11.25">
      <c r="A107" s="89" t="s">
        <v>264</v>
      </c>
      <c r="B107" s="90" t="s">
        <v>265</v>
      </c>
      <c r="C107" s="219" t="s">
        <v>767</v>
      </c>
      <c r="D107" s="90" t="s">
        <v>157</v>
      </c>
      <c r="E107" s="398"/>
      <c r="F107" s="398"/>
      <c r="G107" s="398"/>
      <c r="H107" s="398"/>
      <c r="I107" s="398"/>
      <c r="J107" s="398"/>
      <c r="K107" s="398"/>
      <c r="L107" s="398"/>
      <c r="M107" s="399">
        <v>250</v>
      </c>
      <c r="N107" s="399"/>
      <c r="O107" s="399"/>
      <c r="P107" s="472"/>
      <c r="Q107" s="361">
        <f t="shared" si="45"/>
        <v>0</v>
      </c>
      <c r="R107" s="91">
        <f t="shared" si="25"/>
        <v>0</v>
      </c>
      <c r="S107" s="91">
        <f t="shared" si="46"/>
        <v>0</v>
      </c>
      <c r="T107" s="92">
        <f t="shared" si="47"/>
        <v>0</v>
      </c>
    </row>
    <row r="108" spans="1:20" ht="11.25">
      <c r="A108" s="89" t="s">
        <v>266</v>
      </c>
      <c r="B108" s="90" t="s">
        <v>267</v>
      </c>
      <c r="C108" s="219" t="s">
        <v>768</v>
      </c>
      <c r="D108" s="90" t="s">
        <v>157</v>
      </c>
      <c r="E108" s="398"/>
      <c r="F108" s="398"/>
      <c r="G108" s="398"/>
      <c r="H108" s="398"/>
      <c r="I108" s="398"/>
      <c r="J108" s="398"/>
      <c r="K108" s="398"/>
      <c r="L108" s="398"/>
      <c r="M108" s="399"/>
      <c r="N108" s="399"/>
      <c r="O108" s="399"/>
      <c r="P108" s="472"/>
      <c r="Q108" s="361">
        <f t="shared" si="45"/>
        <v>0</v>
      </c>
      <c r="R108" s="91">
        <f t="shared" si="25"/>
        <v>0</v>
      </c>
      <c r="S108" s="91">
        <f t="shared" si="46"/>
        <v>0</v>
      </c>
      <c r="T108" s="92">
        <f t="shared" si="47"/>
        <v>0</v>
      </c>
    </row>
    <row r="109" spans="1:20" ht="11.25">
      <c r="A109" s="89" t="s">
        <v>268</v>
      </c>
      <c r="B109" s="90" t="s">
        <v>269</v>
      </c>
      <c r="C109" s="219" t="s">
        <v>769</v>
      </c>
      <c r="D109" s="90" t="s">
        <v>157</v>
      </c>
      <c r="E109" s="398"/>
      <c r="F109" s="398"/>
      <c r="G109" s="398"/>
      <c r="H109" s="398"/>
      <c r="I109" s="398"/>
      <c r="J109" s="398"/>
      <c r="K109" s="398"/>
      <c r="L109" s="398"/>
      <c r="M109" s="399">
        <v>4580</v>
      </c>
      <c r="N109" s="399"/>
      <c r="O109" s="399"/>
      <c r="P109" s="472"/>
      <c r="Q109" s="361">
        <f t="shared" si="45"/>
        <v>0</v>
      </c>
      <c r="R109" s="91">
        <f t="shared" si="25"/>
        <v>0</v>
      </c>
      <c r="S109" s="91">
        <f t="shared" si="46"/>
        <v>0</v>
      </c>
      <c r="T109" s="92">
        <f t="shared" si="47"/>
        <v>0</v>
      </c>
    </row>
    <row r="110" spans="1:20" ht="11.25">
      <c r="A110" s="89" t="s">
        <v>270</v>
      </c>
      <c r="B110" s="90" t="s">
        <v>271</v>
      </c>
      <c r="C110" s="219" t="s">
        <v>770</v>
      </c>
      <c r="D110" s="90" t="s">
        <v>157</v>
      </c>
      <c r="E110" s="398"/>
      <c r="F110" s="398"/>
      <c r="G110" s="398"/>
      <c r="H110" s="398"/>
      <c r="I110" s="398"/>
      <c r="J110" s="398"/>
      <c r="K110" s="398"/>
      <c r="L110" s="398"/>
      <c r="M110" s="399"/>
      <c r="N110" s="399"/>
      <c r="O110" s="399"/>
      <c r="P110" s="472"/>
      <c r="Q110" s="361">
        <f t="shared" si="45"/>
        <v>0</v>
      </c>
      <c r="R110" s="91">
        <f t="shared" si="25"/>
        <v>0</v>
      </c>
      <c r="S110" s="91">
        <f t="shared" si="46"/>
        <v>0</v>
      </c>
      <c r="T110" s="92">
        <f t="shared" si="47"/>
        <v>0</v>
      </c>
    </row>
    <row r="111" spans="1:20" ht="11.25">
      <c r="A111" s="89" t="s">
        <v>272</v>
      </c>
      <c r="B111" s="90" t="s">
        <v>273</v>
      </c>
      <c r="C111" s="219" t="s">
        <v>771</v>
      </c>
      <c r="D111" s="90" t="s">
        <v>157</v>
      </c>
      <c r="E111" s="398"/>
      <c r="F111" s="398"/>
      <c r="G111" s="398"/>
      <c r="H111" s="398"/>
      <c r="I111" s="398"/>
      <c r="J111" s="398"/>
      <c r="K111" s="398"/>
      <c r="L111" s="398"/>
      <c r="M111" s="399"/>
      <c r="N111" s="399"/>
      <c r="O111" s="399"/>
      <c r="P111" s="472"/>
      <c r="Q111" s="361">
        <f t="shared" si="45"/>
        <v>0</v>
      </c>
      <c r="R111" s="91">
        <f t="shared" si="25"/>
        <v>0</v>
      </c>
      <c r="S111" s="91">
        <f t="shared" si="46"/>
        <v>0</v>
      </c>
      <c r="T111" s="92">
        <f t="shared" si="47"/>
        <v>0</v>
      </c>
    </row>
    <row r="112" spans="1:20" ht="11.25">
      <c r="A112" s="89" t="s">
        <v>274</v>
      </c>
      <c r="B112" s="90" t="s">
        <v>275</v>
      </c>
      <c r="C112" s="219" t="s">
        <v>772</v>
      </c>
      <c r="D112" s="90" t="s">
        <v>157</v>
      </c>
      <c r="E112" s="398"/>
      <c r="F112" s="398"/>
      <c r="G112" s="398"/>
      <c r="H112" s="398"/>
      <c r="I112" s="398"/>
      <c r="J112" s="398"/>
      <c r="K112" s="398"/>
      <c r="L112" s="398"/>
      <c r="M112" s="399"/>
      <c r="N112" s="399"/>
      <c r="O112" s="399"/>
      <c r="P112" s="472"/>
      <c r="Q112" s="361">
        <f t="shared" si="45"/>
        <v>0</v>
      </c>
      <c r="R112" s="91">
        <f t="shared" si="25"/>
        <v>0</v>
      </c>
      <c r="S112" s="91">
        <f t="shared" si="46"/>
        <v>0</v>
      </c>
      <c r="T112" s="92">
        <f t="shared" si="47"/>
        <v>0</v>
      </c>
    </row>
    <row r="113" spans="1:20" ht="11.25">
      <c r="A113" s="89" t="s">
        <v>276</v>
      </c>
      <c r="B113" s="90" t="s">
        <v>277</v>
      </c>
      <c r="C113" s="219" t="s">
        <v>773</v>
      </c>
      <c r="D113" s="90" t="s">
        <v>157</v>
      </c>
      <c r="E113" s="114">
        <f aca="true" t="shared" si="48" ref="E113:P113">SUM(E114:E117)</f>
        <v>0</v>
      </c>
      <c r="F113" s="114">
        <f>SUM(F114:F117)</f>
        <v>0</v>
      </c>
      <c r="G113" s="114">
        <f t="shared" si="48"/>
        <v>0</v>
      </c>
      <c r="H113" s="114">
        <f t="shared" si="48"/>
        <v>0</v>
      </c>
      <c r="I113" s="114">
        <f t="shared" si="48"/>
        <v>0</v>
      </c>
      <c r="J113" s="114">
        <f>SUM(J114:J117)</f>
        <v>0</v>
      </c>
      <c r="K113" s="114">
        <f t="shared" si="48"/>
        <v>0</v>
      </c>
      <c r="L113" s="114">
        <f t="shared" si="48"/>
        <v>0</v>
      </c>
      <c r="M113" s="356">
        <f t="shared" si="48"/>
        <v>0</v>
      </c>
      <c r="N113" s="356">
        <f t="shared" si="48"/>
        <v>0</v>
      </c>
      <c r="O113" s="356">
        <f t="shared" si="48"/>
        <v>0</v>
      </c>
      <c r="P113" s="356">
        <f t="shared" si="48"/>
        <v>0</v>
      </c>
      <c r="Q113" s="361">
        <f t="shared" si="45"/>
        <v>0</v>
      </c>
      <c r="R113" s="91">
        <f t="shared" si="25"/>
        <v>0</v>
      </c>
      <c r="S113" s="91">
        <f t="shared" si="46"/>
        <v>0</v>
      </c>
      <c r="T113" s="92">
        <f t="shared" si="47"/>
        <v>0</v>
      </c>
    </row>
    <row r="114" spans="1:20" ht="11.25">
      <c r="A114" s="89" t="s">
        <v>278</v>
      </c>
      <c r="B114" s="90" t="s">
        <v>279</v>
      </c>
      <c r="C114" s="219" t="s">
        <v>774</v>
      </c>
      <c r="D114" s="90" t="s">
        <v>157</v>
      </c>
      <c r="E114" s="398"/>
      <c r="F114" s="398"/>
      <c r="G114" s="398"/>
      <c r="H114" s="398"/>
      <c r="I114" s="398"/>
      <c r="J114" s="398"/>
      <c r="K114" s="398"/>
      <c r="L114" s="398"/>
      <c r="M114" s="399"/>
      <c r="N114" s="399"/>
      <c r="O114" s="399"/>
      <c r="P114" s="472"/>
      <c r="Q114" s="361">
        <f t="shared" si="45"/>
        <v>0</v>
      </c>
      <c r="R114" s="91">
        <f t="shared" si="25"/>
        <v>0</v>
      </c>
      <c r="S114" s="91">
        <f t="shared" si="46"/>
        <v>0</v>
      </c>
      <c r="T114" s="92">
        <f t="shared" si="47"/>
        <v>0</v>
      </c>
    </row>
    <row r="115" spans="1:20" ht="11.25">
      <c r="A115" s="89" t="s">
        <v>280</v>
      </c>
      <c r="B115" s="90" t="s">
        <v>281</v>
      </c>
      <c r="C115" s="219" t="s">
        <v>775</v>
      </c>
      <c r="D115" s="90" t="s">
        <v>157</v>
      </c>
      <c r="E115" s="398"/>
      <c r="F115" s="398"/>
      <c r="G115" s="398"/>
      <c r="H115" s="398"/>
      <c r="I115" s="398"/>
      <c r="J115" s="398"/>
      <c r="K115" s="398"/>
      <c r="L115" s="398"/>
      <c r="M115" s="399"/>
      <c r="N115" s="399"/>
      <c r="O115" s="399"/>
      <c r="P115" s="472"/>
      <c r="Q115" s="361">
        <f t="shared" si="45"/>
        <v>0</v>
      </c>
      <c r="R115" s="91">
        <f t="shared" si="25"/>
        <v>0</v>
      </c>
      <c r="S115" s="91">
        <f t="shared" si="46"/>
        <v>0</v>
      </c>
      <c r="T115" s="92">
        <f t="shared" si="47"/>
        <v>0</v>
      </c>
    </row>
    <row r="116" spans="1:20" ht="11.25">
      <c r="A116" s="89" t="s">
        <v>282</v>
      </c>
      <c r="B116" s="90" t="s">
        <v>283</v>
      </c>
      <c r="C116" s="219" t="s">
        <v>776</v>
      </c>
      <c r="D116" s="90" t="s">
        <v>157</v>
      </c>
      <c r="E116" s="398"/>
      <c r="F116" s="398"/>
      <c r="G116" s="398"/>
      <c r="H116" s="398"/>
      <c r="I116" s="398"/>
      <c r="J116" s="398"/>
      <c r="K116" s="398"/>
      <c r="L116" s="398"/>
      <c r="M116" s="399"/>
      <c r="N116" s="399"/>
      <c r="O116" s="399"/>
      <c r="P116" s="472"/>
      <c r="Q116" s="361">
        <f t="shared" si="45"/>
        <v>0</v>
      </c>
      <c r="R116" s="91">
        <f t="shared" si="25"/>
        <v>0</v>
      </c>
      <c r="S116" s="91">
        <f t="shared" si="46"/>
        <v>0</v>
      </c>
      <c r="T116" s="92">
        <f t="shared" si="47"/>
        <v>0</v>
      </c>
    </row>
    <row r="117" spans="1:20" ht="11.25">
      <c r="A117" s="89" t="s">
        <v>284</v>
      </c>
      <c r="B117" s="90" t="s">
        <v>275</v>
      </c>
      <c r="C117" s="219" t="s">
        <v>777</v>
      </c>
      <c r="D117" s="90" t="s">
        <v>157</v>
      </c>
      <c r="E117" s="398"/>
      <c r="F117" s="398"/>
      <c r="G117" s="398"/>
      <c r="H117" s="398"/>
      <c r="I117" s="398"/>
      <c r="J117" s="398"/>
      <c r="K117" s="398"/>
      <c r="L117" s="398"/>
      <c r="M117" s="399"/>
      <c r="N117" s="399"/>
      <c r="O117" s="399"/>
      <c r="P117" s="472"/>
      <c r="Q117" s="361">
        <f t="shared" si="45"/>
        <v>0</v>
      </c>
      <c r="R117" s="91">
        <f t="shared" si="25"/>
        <v>0</v>
      </c>
      <c r="S117" s="91">
        <f t="shared" si="46"/>
        <v>0</v>
      </c>
      <c r="T117" s="92">
        <f t="shared" si="47"/>
        <v>0</v>
      </c>
    </row>
    <row r="118" spans="1:20" ht="11.25">
      <c r="A118" s="89"/>
      <c r="B118" s="90"/>
      <c r="C118" s="219"/>
      <c r="D118" s="90"/>
      <c r="E118" s="105"/>
      <c r="F118" s="105"/>
      <c r="G118" s="105"/>
      <c r="H118" s="105"/>
      <c r="I118" s="105"/>
      <c r="J118" s="105"/>
      <c r="K118" s="105"/>
      <c r="L118" s="105"/>
      <c r="M118" s="353"/>
      <c r="N118" s="353"/>
      <c r="O118" s="353"/>
      <c r="P118" s="106"/>
      <c r="Q118" s="108"/>
      <c r="R118" s="105"/>
      <c r="S118" s="105"/>
      <c r="T118" s="106"/>
    </row>
    <row r="119" spans="1:20" ht="11.25">
      <c r="A119" s="89" t="s">
        <v>285</v>
      </c>
      <c r="B119" s="90" t="s">
        <v>286</v>
      </c>
      <c r="C119" s="219" t="s">
        <v>778</v>
      </c>
      <c r="D119" s="90"/>
      <c r="E119" s="105"/>
      <c r="F119" s="105"/>
      <c r="G119" s="105"/>
      <c r="H119" s="105"/>
      <c r="I119" s="105"/>
      <c r="J119" s="105"/>
      <c r="K119" s="105"/>
      <c r="L119" s="105"/>
      <c r="M119" s="353"/>
      <c r="N119" s="353"/>
      <c r="O119" s="353"/>
      <c r="P119" s="106"/>
      <c r="Q119" s="108"/>
      <c r="R119" s="105"/>
      <c r="S119" s="105"/>
      <c r="T119" s="106"/>
    </row>
    <row r="120" spans="1:20" ht="11.25">
      <c r="A120" s="89" t="s">
        <v>287</v>
      </c>
      <c r="B120" s="90" t="s">
        <v>288</v>
      </c>
      <c r="C120" s="219" t="s">
        <v>779</v>
      </c>
      <c r="D120" s="90" t="s">
        <v>255</v>
      </c>
      <c r="E120" s="400">
        <v>20</v>
      </c>
      <c r="F120" s="400">
        <v>20</v>
      </c>
      <c r="G120" s="400">
        <v>20</v>
      </c>
      <c r="H120" s="400">
        <v>20</v>
      </c>
      <c r="I120" s="400">
        <v>20</v>
      </c>
      <c r="J120" s="400">
        <v>20</v>
      </c>
      <c r="K120" s="400">
        <v>20</v>
      </c>
      <c r="L120" s="400">
        <v>20</v>
      </c>
      <c r="M120" s="401">
        <v>20</v>
      </c>
      <c r="N120" s="401">
        <v>20</v>
      </c>
      <c r="O120" s="401">
        <v>20</v>
      </c>
      <c r="P120" s="473">
        <v>20</v>
      </c>
      <c r="Q120" s="361">
        <f>IF(I120=0,0,(M120/I120*100))</f>
        <v>100</v>
      </c>
      <c r="R120" s="91">
        <f t="shared" si="25"/>
        <v>100</v>
      </c>
      <c r="S120" s="91">
        <f>IF(E120=0,0,(M120/E120*100))</f>
        <v>100</v>
      </c>
      <c r="T120" s="92">
        <f>IF(H120=0,0,(M120/H120*100))</f>
        <v>100</v>
      </c>
    </row>
    <row r="121" spans="1:20" ht="11.25">
      <c r="A121" s="89" t="s">
        <v>289</v>
      </c>
      <c r="B121" s="90" t="s">
        <v>290</v>
      </c>
      <c r="C121" s="219" t="s">
        <v>780</v>
      </c>
      <c r="D121" s="90" t="s">
        <v>255</v>
      </c>
      <c r="E121" s="398">
        <v>30.44</v>
      </c>
      <c r="F121" s="398"/>
      <c r="G121" s="398">
        <v>30.44</v>
      </c>
      <c r="H121" s="398"/>
      <c r="I121" s="398">
        <v>30.44</v>
      </c>
      <c r="J121" s="398"/>
      <c r="K121" s="398">
        <v>30.4</v>
      </c>
      <c r="L121" s="398"/>
      <c r="M121" s="399">
        <v>30.4</v>
      </c>
      <c r="N121" s="399"/>
      <c r="O121" s="399"/>
      <c r="P121" s="472"/>
      <c r="Q121" s="361">
        <f>IF(I121=0,0,(M121/I121*100))</f>
        <v>99.86859395532194</v>
      </c>
      <c r="R121" s="91">
        <f t="shared" si="25"/>
        <v>0</v>
      </c>
      <c r="S121" s="91">
        <f>IF(E121=0,0,(M121/E121*100))</f>
        <v>99.86859395532194</v>
      </c>
      <c r="T121" s="92">
        <f>IF(H121=0,0,(M121/H121*100))</f>
        <v>0</v>
      </c>
    </row>
    <row r="122" spans="1:20" ht="11.25">
      <c r="A122" s="89"/>
      <c r="B122" s="90"/>
      <c r="C122" s="219"/>
      <c r="D122" s="90"/>
      <c r="E122" s="104"/>
      <c r="F122" s="104"/>
      <c r="G122" s="104"/>
      <c r="H122" s="104"/>
      <c r="I122" s="104"/>
      <c r="J122" s="104"/>
      <c r="K122" s="104"/>
      <c r="L122" s="104"/>
      <c r="M122" s="357"/>
      <c r="N122" s="357"/>
      <c r="O122" s="357"/>
      <c r="P122" s="344"/>
      <c r="Q122" s="364"/>
      <c r="R122" s="104"/>
      <c r="S122" s="104"/>
      <c r="T122" s="344"/>
    </row>
    <row r="123" spans="1:20" ht="11.25">
      <c r="A123" s="89"/>
      <c r="B123" s="90" t="s">
        <v>291</v>
      </c>
      <c r="C123" s="219" t="s">
        <v>781</v>
      </c>
      <c r="D123" s="90"/>
      <c r="E123" s="114">
        <f aca="true" t="shared" si="49" ref="E123:P123">SUM(E124:E127)</f>
        <v>1863.12</v>
      </c>
      <c r="F123" s="114">
        <f>SUM(F124:F127)</f>
        <v>0</v>
      </c>
      <c r="G123" s="114">
        <f t="shared" si="49"/>
        <v>1854.7799999999997</v>
      </c>
      <c r="H123" s="114">
        <f t="shared" si="49"/>
        <v>0</v>
      </c>
      <c r="I123" s="114">
        <f t="shared" si="49"/>
        <v>1854.7799999999997</v>
      </c>
      <c r="J123" s="114">
        <f>SUM(J124:J127)</f>
        <v>0</v>
      </c>
      <c r="K123" s="114">
        <f t="shared" si="49"/>
        <v>1979.87</v>
      </c>
      <c r="L123" s="114">
        <f t="shared" si="49"/>
        <v>0</v>
      </c>
      <c r="M123" s="356">
        <f t="shared" si="49"/>
        <v>2091.5694</v>
      </c>
      <c r="N123" s="356">
        <f t="shared" si="49"/>
        <v>0</v>
      </c>
      <c r="O123" s="356">
        <f t="shared" si="49"/>
        <v>0</v>
      </c>
      <c r="P123" s="356">
        <f t="shared" si="49"/>
        <v>0</v>
      </c>
      <c r="Q123" s="361">
        <f>IF(I123=0,0,(M123/I123*100))</f>
        <v>112.76644130301167</v>
      </c>
      <c r="R123" s="91">
        <f t="shared" si="25"/>
        <v>0</v>
      </c>
      <c r="S123" s="91">
        <f>IF(E123=0,0,(M123/E123*100))</f>
        <v>112.26165786422774</v>
      </c>
      <c r="T123" s="92">
        <f>IF(H123=0,0,(M123/H123*100))</f>
        <v>0</v>
      </c>
    </row>
    <row r="124" spans="1:20" ht="11.25">
      <c r="A124" s="89"/>
      <c r="B124" s="99" t="s">
        <v>28</v>
      </c>
      <c r="C124" s="219" t="s">
        <v>782</v>
      </c>
      <c r="D124" s="90"/>
      <c r="E124" s="716"/>
      <c r="F124" s="398"/>
      <c r="G124" s="398"/>
      <c r="H124" s="398"/>
      <c r="I124" s="398"/>
      <c r="J124" s="398"/>
      <c r="K124" s="398"/>
      <c r="L124" s="398"/>
      <c r="M124" s="358">
        <f>'P2.1'!J28+'P2.2'!I50</f>
        <v>0</v>
      </c>
      <c r="N124" s="358"/>
      <c r="O124" s="358"/>
      <c r="P124" s="474"/>
      <c r="Q124" s="361">
        <f>IF(I124=0,0,(M124/I124*100))</f>
        <v>0</v>
      </c>
      <c r="R124" s="91">
        <f t="shared" si="25"/>
        <v>0</v>
      </c>
      <c r="S124" s="91">
        <f>IF(E124=0,0,(M124/E124*100))</f>
        <v>0</v>
      </c>
      <c r="T124" s="92">
        <f>IF(H124=0,0,(M124/H124*100))</f>
        <v>0</v>
      </c>
    </row>
    <row r="125" spans="1:20" ht="11.25">
      <c r="A125" s="89"/>
      <c r="B125" s="99" t="s">
        <v>29</v>
      </c>
      <c r="C125" s="219" t="s">
        <v>783</v>
      </c>
      <c r="D125" s="90"/>
      <c r="E125" s="716">
        <v>128.83</v>
      </c>
      <c r="F125" s="398"/>
      <c r="G125" s="398">
        <v>128.83</v>
      </c>
      <c r="H125" s="398"/>
      <c r="I125" s="398">
        <v>128.83</v>
      </c>
      <c r="J125" s="398"/>
      <c r="K125" s="398">
        <v>128.83</v>
      </c>
      <c r="L125" s="398"/>
      <c r="M125" s="358">
        <f>'P2.1'!J39+'P2.2'!I51</f>
        <v>228.988</v>
      </c>
      <c r="N125" s="358"/>
      <c r="O125" s="358"/>
      <c r="P125" s="474"/>
      <c r="Q125" s="361">
        <f>IF(I125=0,0,(M125/I125*100))</f>
        <v>177.7443142125281</v>
      </c>
      <c r="R125" s="91">
        <f t="shared" si="25"/>
        <v>0</v>
      </c>
      <c r="S125" s="91">
        <f>IF(E125=0,0,(M125/E125*100))</f>
        <v>177.7443142125281</v>
      </c>
      <c r="T125" s="92">
        <f>IF(H125=0,0,(M125/H125*100))</f>
        <v>0</v>
      </c>
    </row>
    <row r="126" spans="1:20" ht="11.25">
      <c r="A126" s="89"/>
      <c r="B126" s="99" t="s">
        <v>30</v>
      </c>
      <c r="C126" s="219" t="s">
        <v>784</v>
      </c>
      <c r="D126" s="90"/>
      <c r="E126" s="716">
        <v>1459.27</v>
      </c>
      <c r="F126" s="398"/>
      <c r="G126" s="398">
        <v>1469.3</v>
      </c>
      <c r="H126" s="398"/>
      <c r="I126" s="398">
        <v>1469.3</v>
      </c>
      <c r="J126" s="398"/>
      <c r="K126" s="398">
        <v>1594.39</v>
      </c>
      <c r="L126" s="398"/>
      <c r="M126" s="358">
        <f>'P2.1'!J40+'P2.2'!I52</f>
        <v>1594.3934999999997</v>
      </c>
      <c r="N126" s="358"/>
      <c r="O126" s="358"/>
      <c r="P126" s="474"/>
      <c r="Q126" s="361">
        <f>IF(I126=0,0,(M126/I126*100))</f>
        <v>108.51381610290613</v>
      </c>
      <c r="R126" s="91">
        <f t="shared" si="25"/>
        <v>0</v>
      </c>
      <c r="S126" s="91">
        <f>IF(E126=0,0,(M126/E126*100))</f>
        <v>109.25966407861463</v>
      </c>
      <c r="T126" s="92">
        <f>IF(H126=0,0,(M126/H126*100))</f>
        <v>0</v>
      </c>
    </row>
    <row r="127" spans="1:20" ht="12" thickBot="1">
      <c r="A127" s="115"/>
      <c r="B127" s="116" t="s">
        <v>31</v>
      </c>
      <c r="C127" s="313" t="s">
        <v>785</v>
      </c>
      <c r="D127" s="117"/>
      <c r="E127" s="717">
        <v>275.02</v>
      </c>
      <c r="F127" s="402"/>
      <c r="G127" s="402">
        <v>256.65</v>
      </c>
      <c r="H127" s="402"/>
      <c r="I127" s="402">
        <v>256.65</v>
      </c>
      <c r="J127" s="402"/>
      <c r="K127" s="402">
        <v>256.65</v>
      </c>
      <c r="L127" s="402"/>
      <c r="M127" s="359">
        <f>'P2.1'!J45+'P2.2'!I53</f>
        <v>268.1879</v>
      </c>
      <c r="N127" s="359"/>
      <c r="O127" s="359"/>
      <c r="P127" s="475"/>
      <c r="Q127" s="365">
        <f>IF(I127=0,0,(M127/I127*100))</f>
        <v>104.49557763491137</v>
      </c>
      <c r="R127" s="345">
        <f t="shared" si="25"/>
        <v>0</v>
      </c>
      <c r="S127" s="345">
        <f>IF(E127=0,0,(M127/E127*100))</f>
        <v>97.5157806704967</v>
      </c>
      <c r="T127" s="346">
        <f>IF(H127=0,0,(M127/H127*100))</f>
        <v>0</v>
      </c>
    </row>
    <row r="128" spans="1:20" ht="11.25">
      <c r="A128" s="118"/>
      <c r="B128" s="118"/>
      <c r="C128" s="118"/>
      <c r="D128" s="119"/>
      <c r="E128" s="118"/>
      <c r="F128" s="118"/>
      <c r="G128" s="118"/>
      <c r="H128" s="118"/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  <c r="S128" s="118"/>
      <c r="T128" s="118"/>
    </row>
    <row r="130" spans="2:16" ht="11.25" hidden="1">
      <c r="B130" s="314"/>
      <c r="C130" s="315"/>
      <c r="D130" s="316" t="s">
        <v>28</v>
      </c>
      <c r="E130" s="316" t="s">
        <v>29</v>
      </c>
      <c r="F130" s="316" t="s">
        <v>31</v>
      </c>
      <c r="G130" s="316"/>
      <c r="H130" s="316" t="s">
        <v>30</v>
      </c>
      <c r="I130" s="316" t="s">
        <v>31</v>
      </c>
      <c r="J130" s="316" t="s">
        <v>31</v>
      </c>
      <c r="K130" s="316"/>
      <c r="L130" s="316" t="s">
        <v>87</v>
      </c>
      <c r="M130" s="317" t="s">
        <v>123</v>
      </c>
      <c r="N130" s="461"/>
      <c r="O130" s="461"/>
      <c r="P130" s="461"/>
    </row>
    <row r="131" spans="2:16" ht="11.25" hidden="1">
      <c r="B131" s="318"/>
      <c r="C131" s="120"/>
      <c r="D131" s="121" t="s">
        <v>28</v>
      </c>
      <c r="E131" s="121" t="s">
        <v>29</v>
      </c>
      <c r="F131" s="121" t="s">
        <v>31</v>
      </c>
      <c r="G131" s="121"/>
      <c r="H131" s="121" t="s">
        <v>30</v>
      </c>
      <c r="I131" s="121" t="s">
        <v>31</v>
      </c>
      <c r="J131" s="121" t="s">
        <v>31</v>
      </c>
      <c r="K131" s="121"/>
      <c r="L131" s="121" t="s">
        <v>87</v>
      </c>
      <c r="M131" s="319" t="s">
        <v>123</v>
      </c>
      <c r="N131" s="461"/>
      <c r="O131" s="461"/>
      <c r="P131" s="461"/>
    </row>
    <row r="132" spans="2:16" ht="11.25" hidden="1">
      <c r="B132" s="320" t="s">
        <v>292</v>
      </c>
      <c r="C132" s="243" t="s">
        <v>893</v>
      </c>
      <c r="D132" s="122">
        <f>'24'!I35</f>
        <v>0</v>
      </c>
      <c r="E132" s="122">
        <f>'24'!I38</f>
        <v>549097.3615387363</v>
      </c>
      <c r="F132" s="122">
        <f>'24'!F40</f>
        <v>338061.9348155225</v>
      </c>
      <c r="G132" s="122"/>
      <c r="H132" s="122">
        <f>'24'!I39</f>
        <v>328600.24317124765</v>
      </c>
      <c r="I132" s="122">
        <f>'24'!I40</f>
        <v>434648.89075247303</v>
      </c>
      <c r="J132" s="122">
        <f>'24'!J40</f>
        <v>1.3743418111551398</v>
      </c>
      <c r="K132" s="122"/>
      <c r="L132" s="123">
        <f>D132*D134+E132*E134+H132*H134+I132*I134</f>
        <v>5459236.488726883</v>
      </c>
      <c r="M132" s="321">
        <f>M98</f>
        <v>64060.849165172345</v>
      </c>
      <c r="N132" s="462"/>
      <c r="O132" s="462"/>
      <c r="P132" s="462"/>
    </row>
    <row r="133" spans="2:16" ht="11.25" hidden="1">
      <c r="B133" s="320" t="s">
        <v>293</v>
      </c>
      <c r="C133" s="243" t="s">
        <v>894</v>
      </c>
      <c r="D133" s="122">
        <f>'25'!I40</f>
        <v>0</v>
      </c>
      <c r="E133" s="122">
        <f>'25'!I43</f>
        <v>72.59955032701478</v>
      </c>
      <c r="F133" s="122">
        <f>'25'!F45</f>
        <v>225.13608172725807</v>
      </c>
      <c r="G133" s="122"/>
      <c r="H133" s="122">
        <f>'25'!I44</f>
        <v>74.14134595779436</v>
      </c>
      <c r="I133" s="122">
        <f>'25'!I45</f>
        <v>304.62764289138045</v>
      </c>
      <c r="J133" s="122">
        <f>'25'!J45</f>
        <v>1.092852976629682</v>
      </c>
      <c r="K133" s="122"/>
      <c r="L133" s="124"/>
      <c r="M133" s="321"/>
      <c r="N133" s="462"/>
      <c r="O133" s="462"/>
      <c r="P133" s="462"/>
    </row>
    <row r="134" spans="2:16" ht="11.25" hidden="1">
      <c r="B134" s="322" t="s">
        <v>294</v>
      </c>
      <c r="C134" s="243" t="s">
        <v>895</v>
      </c>
      <c r="D134" s="125">
        <f>5!Z25+5!Z29</f>
        <v>0</v>
      </c>
      <c r="E134" s="125">
        <f>5!AA25+5!AA29</f>
        <v>0.003</v>
      </c>
      <c r="F134" s="125">
        <f>5!AJ25+5!AJ29</f>
        <v>0</v>
      </c>
      <c r="G134" s="125"/>
      <c r="H134" s="125">
        <f>5!AB25+5!AB29</f>
        <v>4.044</v>
      </c>
      <c r="I134" s="125">
        <f>5!AC25+5!AC29</f>
        <v>9.499</v>
      </c>
      <c r="J134" s="125">
        <f>5!AN25+5!AN29</f>
        <v>1.0961665565102447</v>
      </c>
      <c r="K134" s="125"/>
      <c r="L134" s="126">
        <f>D134+E134+H134+I134</f>
        <v>13.546</v>
      </c>
      <c r="M134" s="339"/>
      <c r="N134" s="463"/>
      <c r="O134" s="463"/>
      <c r="P134" s="463"/>
    </row>
    <row r="135" spans="2:16" ht="11.25" hidden="1">
      <c r="B135" s="323" t="s">
        <v>295</v>
      </c>
      <c r="C135" s="243" t="s">
        <v>896</v>
      </c>
      <c r="D135" s="403"/>
      <c r="E135" s="403"/>
      <c r="F135" s="403"/>
      <c r="G135" s="403"/>
      <c r="H135" s="403"/>
      <c r="I135" s="403"/>
      <c r="J135" s="403"/>
      <c r="K135" s="403"/>
      <c r="L135" s="127">
        <f>'отпуск населению'!M90*1000</f>
        <v>0</v>
      </c>
      <c r="M135" s="404"/>
      <c r="N135" s="464"/>
      <c r="O135" s="464"/>
      <c r="P135" s="464"/>
    </row>
    <row r="136" spans="2:16" ht="11.25" hidden="1">
      <c r="B136" s="324" t="s">
        <v>296</v>
      </c>
      <c r="C136" s="243" t="s">
        <v>897</v>
      </c>
      <c r="D136" s="129">
        <f>IF(L134=0,0,L$135/L$134)</f>
        <v>0</v>
      </c>
      <c r="E136" s="129">
        <f>IF(M134=0,0,M$135/M$134)</f>
        <v>0</v>
      </c>
      <c r="F136" s="129">
        <f>IF(O134=0,0,O$135/O$134)</f>
        <v>0</v>
      </c>
      <c r="G136" s="129"/>
      <c r="H136" s="129">
        <f>IF(Q$134=0,0,Q$135/Q$134)</f>
        <v>0</v>
      </c>
      <c r="I136" s="129">
        <f>IF(R134=0,0,R$135/R$134)</f>
        <v>0</v>
      </c>
      <c r="J136" s="129">
        <f>IF(S134=0,0,S$135/S$134)</f>
        <v>0</v>
      </c>
      <c r="K136" s="129"/>
      <c r="L136" s="128"/>
      <c r="M136" s="405"/>
      <c r="N136" s="465"/>
      <c r="O136" s="465"/>
      <c r="P136" s="465"/>
    </row>
    <row r="137" spans="2:16" ht="22.5" hidden="1">
      <c r="B137" s="325" t="s">
        <v>297</v>
      </c>
      <c r="C137" s="243" t="s">
        <v>898</v>
      </c>
      <c r="D137" s="130">
        <f>D132+D136</f>
        <v>0</v>
      </c>
      <c r="E137" s="130">
        <f>E132+E136</f>
        <v>549097.3615387363</v>
      </c>
      <c r="F137" s="130">
        <f>F132+F136</f>
        <v>338061.9348155225</v>
      </c>
      <c r="G137" s="130"/>
      <c r="H137" s="130">
        <f>H132+H136</f>
        <v>328600.24317124765</v>
      </c>
      <c r="I137" s="130">
        <f>I132+I136</f>
        <v>434648.89075247303</v>
      </c>
      <c r="J137" s="130">
        <f>J132+J136</f>
        <v>1.3743418111551398</v>
      </c>
      <c r="K137" s="130"/>
      <c r="L137" s="406"/>
      <c r="M137" s="407"/>
      <c r="N137" s="465"/>
      <c r="O137" s="465"/>
      <c r="P137" s="465"/>
    </row>
    <row r="138" spans="2:16" ht="27.75" customHeight="1" hidden="1">
      <c r="B138" s="326" t="s">
        <v>298</v>
      </c>
      <c r="C138" s="243" t="s">
        <v>899</v>
      </c>
      <c r="D138" s="408"/>
      <c r="E138" s="408"/>
      <c r="F138" s="408"/>
      <c r="G138" s="408"/>
      <c r="H138" s="408"/>
      <c r="I138" s="408"/>
      <c r="J138" s="408"/>
      <c r="K138" s="408"/>
      <c r="L138" s="409"/>
      <c r="M138" s="410"/>
      <c r="N138" s="466"/>
      <c r="O138" s="466"/>
      <c r="P138" s="466"/>
    </row>
    <row r="139" spans="2:16" ht="23.25" customHeight="1" hidden="1">
      <c r="B139" s="326" t="s">
        <v>299</v>
      </c>
      <c r="C139" s="243" t="s">
        <v>900</v>
      </c>
      <c r="D139" s="408"/>
      <c r="E139" s="408"/>
      <c r="F139" s="408"/>
      <c r="G139" s="408"/>
      <c r="H139" s="408"/>
      <c r="I139" s="408"/>
      <c r="J139" s="408"/>
      <c r="K139" s="408"/>
      <c r="L139" s="409"/>
      <c r="M139" s="410"/>
      <c r="N139" s="466"/>
      <c r="O139" s="466"/>
      <c r="P139" s="466"/>
    </row>
    <row r="140" spans="2:16" ht="23.25" customHeight="1" hidden="1">
      <c r="B140" s="341" t="s">
        <v>910</v>
      </c>
      <c r="C140" s="340"/>
      <c r="D140" s="411"/>
      <c r="E140" s="411"/>
      <c r="F140" s="411"/>
      <c r="G140" s="411"/>
      <c r="H140" s="411"/>
      <c r="I140" s="411"/>
      <c r="J140" s="411"/>
      <c r="K140" s="411"/>
      <c r="L140" s="412"/>
      <c r="M140" s="413"/>
      <c r="N140" s="466"/>
      <c r="O140" s="466"/>
      <c r="P140" s="466"/>
    </row>
    <row r="141" spans="2:16" ht="23.25" customHeight="1" hidden="1" thickBot="1">
      <c r="B141" s="342" t="s">
        <v>911</v>
      </c>
      <c r="C141" s="327" t="s">
        <v>901</v>
      </c>
      <c r="D141" s="414"/>
      <c r="E141" s="414"/>
      <c r="F141" s="414"/>
      <c r="G141" s="414"/>
      <c r="H141" s="414"/>
      <c r="I141" s="414"/>
      <c r="J141" s="414"/>
      <c r="K141" s="414"/>
      <c r="L141" s="415"/>
      <c r="M141" s="416"/>
      <c r="N141" s="466"/>
      <c r="O141" s="466"/>
      <c r="P141" s="466"/>
    </row>
    <row r="142" spans="1:8" ht="15">
      <c r="A142" s="73" t="s">
        <v>1349</v>
      </c>
      <c r="E142" s="576"/>
      <c r="F142" s="608"/>
      <c r="G142" s="607"/>
      <c r="H142" s="608"/>
    </row>
    <row r="143" spans="1:8" ht="15">
      <c r="A143" t="s">
        <v>1350</v>
      </c>
      <c r="E143" s="576"/>
      <c r="F143" s="576"/>
      <c r="G143" s="576"/>
      <c r="H143" s="576"/>
    </row>
    <row r="144" spans="5:17" ht="15">
      <c r="E144" s="576"/>
      <c r="F144" s="576"/>
      <c r="G144" s="576"/>
      <c r="H144" s="576"/>
      <c r="Q144" s="73"/>
    </row>
    <row r="145" spans="5:8" ht="12.75">
      <c r="E145" s="476"/>
      <c r="F145" s="476"/>
      <c r="G145" s="476"/>
      <c r="H145" s="476"/>
    </row>
    <row r="146" ht="11.25"/>
    <row r="147" ht="11.25"/>
    <row r="148" ht="11.25"/>
    <row r="149" ht="11.25">
      <c r="Q149" s="73"/>
    </row>
    <row r="150" spans="2:3" ht="11.25">
      <c r="B150"/>
      <c r="C150"/>
    </row>
    <row r="151" spans="2:3" ht="11.25">
      <c r="B151"/>
      <c r="C151"/>
    </row>
    <row r="152" spans="2:3" ht="11.25">
      <c r="B152"/>
      <c r="C152"/>
    </row>
    <row r="153" spans="2:3" ht="11.25">
      <c r="B153"/>
      <c r="C153"/>
    </row>
    <row r="154" spans="2:3" ht="11.25">
      <c r="B154"/>
      <c r="C154"/>
    </row>
  </sheetData>
  <sheetProtection formatColumns="0" formatRows="0"/>
  <mergeCells count="10">
    <mergeCell ref="A2:N2"/>
    <mergeCell ref="I3:L4"/>
    <mergeCell ref="Q3:R4"/>
    <mergeCell ref="S3:T4"/>
    <mergeCell ref="A3:A5"/>
    <mergeCell ref="B3:B5"/>
    <mergeCell ref="D3:D5"/>
    <mergeCell ref="E3:H4"/>
    <mergeCell ref="M3:N4"/>
    <mergeCell ref="O3:P4"/>
  </mergeCells>
  <dataValidations count="2">
    <dataValidation type="decimal" allowBlank="1" showInputMessage="1" showErrorMessage="1" error="Ввведеное значение неверно" sqref="L137:L141 M135:P141 D138:K141 D135:K135 E55:P56 E120:P121 E114:P117 E107:P112 E90:P90 E85:L88 E58:P63 E42:P53 E81:P81 E23:L26 E38:P40 E32:P36 E15:P16 E28:P29 F124:L127 E18:P19 E72:P79">
      <formula1>-1000000000000000</formula1>
      <formula2>1000000000000000</formula2>
    </dataValidation>
    <dataValidation type="decimal" allowBlank="1" showErrorMessage="1" error="Ввведеное значение неверно" sqref="E124:E127">
      <formula1>-1000000000000000</formula1>
      <formula2>1000000000000000</formula2>
    </dataValidation>
  </dataValidations>
  <printOptions/>
  <pageMargins left="0.6299212598425197" right="0.1968503937007874" top="0.2755905511811024" bottom="0.2755905511811024" header="0.1968503937007874" footer="0.1968503937007874"/>
  <pageSetup fitToHeight="2" fitToWidth="1" horizontalDpi="600" verticalDpi="600" orientation="portrait" paperSize="9" scale="71" r:id="rId3"/>
  <colBreaks count="1" manualBreakCount="1">
    <brk id="16" max="65535" man="1"/>
  </colBreaks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J70"/>
  <sheetViews>
    <sheetView zoomScale="75" zoomScaleNormal="75" zoomScalePageLayoutView="0" workbookViewId="0" topLeftCell="A3">
      <selection activeCell="N60" sqref="N60"/>
    </sheetView>
  </sheetViews>
  <sheetFormatPr defaultColWidth="9.140625" defaultRowHeight="11.25"/>
  <cols>
    <col min="1" max="1" width="7.28125" style="476" customWidth="1"/>
    <col min="2" max="2" width="52.00390625" style="476" customWidth="1"/>
    <col min="3" max="3" width="14.00390625" style="476" customWidth="1"/>
    <col min="4" max="5" width="13.140625" style="476" customWidth="1"/>
    <col min="6" max="6" width="11.7109375" style="476" customWidth="1"/>
    <col min="7" max="7" width="11.8515625" style="476" customWidth="1"/>
    <col min="8" max="8" width="11.57421875" style="476" customWidth="1"/>
    <col min="9" max="9" width="12.57421875" style="476" customWidth="1"/>
    <col min="10" max="16384" width="9.140625" style="476" customWidth="1"/>
  </cols>
  <sheetData>
    <row r="1" ht="12.75" hidden="1"/>
    <row r="2" ht="12.75" hidden="1"/>
    <row r="4" spans="1:9" ht="12.75" customHeight="1">
      <c r="A4" s="833" t="s">
        <v>1341</v>
      </c>
      <c r="B4" s="833"/>
      <c r="C4" s="833"/>
      <c r="D4" s="833"/>
      <c r="E4" s="833"/>
      <c r="F4" s="833"/>
      <c r="G4" s="833"/>
      <c r="H4" s="833"/>
      <c r="I4" s="610"/>
    </row>
    <row r="6" spans="2:9" ht="12.75">
      <c r="B6" s="638" t="s">
        <v>1164</v>
      </c>
      <c r="C6" s="639"/>
      <c r="D6" s="639"/>
      <c r="E6" s="834"/>
      <c r="F6" s="835"/>
      <c r="G6" s="835"/>
      <c r="H6" s="835"/>
      <c r="I6" s="635"/>
    </row>
    <row r="7" spans="2:9" ht="23.25" customHeight="1">
      <c r="B7" s="513"/>
      <c r="C7" s="640"/>
      <c r="D7" s="637" t="s">
        <v>1321</v>
      </c>
      <c r="E7" s="637">
        <v>2015</v>
      </c>
      <c r="F7" s="637">
        <v>2016</v>
      </c>
      <c r="G7" s="637">
        <v>2017</v>
      </c>
      <c r="H7" s="637">
        <v>2018</v>
      </c>
      <c r="I7" s="637">
        <v>2019</v>
      </c>
    </row>
    <row r="8" spans="2:10" ht="12.75">
      <c r="B8" s="641" t="s">
        <v>1165</v>
      </c>
      <c r="C8" s="640" t="s">
        <v>255</v>
      </c>
      <c r="D8" s="501"/>
      <c r="E8" s="642">
        <v>0.047</v>
      </c>
      <c r="F8" s="642">
        <v>0.047</v>
      </c>
      <c r="G8" s="642">
        <v>0.045</v>
      </c>
      <c r="H8" s="642">
        <v>0.041</v>
      </c>
      <c r="I8" s="642">
        <v>0.036</v>
      </c>
      <c r="J8" s="476" t="s">
        <v>1325</v>
      </c>
    </row>
    <row r="9" spans="2:9" ht="21" customHeight="1">
      <c r="B9" s="641" t="s">
        <v>1166</v>
      </c>
      <c r="C9" s="640" t="s">
        <v>255</v>
      </c>
      <c r="D9" s="501"/>
      <c r="E9" s="501"/>
      <c r="F9" s="643">
        <v>0.01</v>
      </c>
      <c r="G9" s="644">
        <v>0.01</v>
      </c>
      <c r="H9" s="644">
        <v>0.01</v>
      </c>
      <c r="I9" s="644">
        <v>0.01</v>
      </c>
    </row>
    <row r="10" spans="2:9" ht="16.5" customHeight="1">
      <c r="B10" s="641" t="s">
        <v>1167</v>
      </c>
      <c r="C10" s="640" t="s">
        <v>1168</v>
      </c>
      <c r="D10" s="575">
        <v>1854.78</v>
      </c>
      <c r="E10" s="575">
        <f>свод!M123</f>
        <v>2091.5694</v>
      </c>
      <c r="F10" s="575">
        <v>2091.57</v>
      </c>
      <c r="G10" s="501">
        <v>2091.57</v>
      </c>
      <c r="H10" s="645">
        <v>2091.57</v>
      </c>
      <c r="I10" s="645">
        <v>2091.57</v>
      </c>
    </row>
    <row r="11" spans="2:9" ht="16.5" customHeight="1">
      <c r="B11" s="641" t="s">
        <v>1169</v>
      </c>
      <c r="C11" s="640" t="s">
        <v>255</v>
      </c>
      <c r="D11" s="501"/>
      <c r="E11" s="501"/>
      <c r="F11" s="502">
        <f>IF(E10=0,0,(F10-E10)/F10)</f>
        <v>2.868658473319731E-07</v>
      </c>
      <c r="G11" s="502">
        <f>IF(F10=0,0,(G10-F10)/G10)</f>
        <v>0</v>
      </c>
      <c r="H11" s="502">
        <f>IF(G10=0,0,(H10-G10)/H10)</f>
        <v>0</v>
      </c>
      <c r="I11" s="502">
        <f>IF(H10=0,0,(I10-H10)/I10)</f>
        <v>0</v>
      </c>
    </row>
    <row r="12" spans="2:9" ht="12.75">
      <c r="B12" s="646" t="s">
        <v>1170</v>
      </c>
      <c r="C12" s="647"/>
      <c r="D12" s="648"/>
      <c r="E12" s="648"/>
      <c r="F12" s="649">
        <v>0.75</v>
      </c>
      <c r="G12" s="649">
        <v>0.75</v>
      </c>
      <c r="H12" s="649">
        <v>0.75</v>
      </c>
      <c r="I12" s="649">
        <v>0.75</v>
      </c>
    </row>
    <row r="13" spans="2:9" ht="12.75">
      <c r="B13" s="646" t="s">
        <v>1171</v>
      </c>
      <c r="C13" s="650"/>
      <c r="D13" s="650"/>
      <c r="E13" s="650"/>
      <c r="F13" s="651">
        <f>(1+F8)*(1-F9)*(1+F11*F12)</f>
        <v>1.0365302230087925</v>
      </c>
      <c r="G13" s="651">
        <f>(1+G8)*(1-G9)*(1+G11*G12)</f>
        <v>1.0345499999999999</v>
      </c>
      <c r="H13" s="651">
        <f>(1+H8)*(1-H9)*(1+H11*H12)</f>
        <v>1.03059</v>
      </c>
      <c r="I13" s="651">
        <f>(1+I8)*(1-I9)*(1+I11*I12)</f>
        <v>1.02564</v>
      </c>
    </row>
    <row r="14" spans="1:9" ht="12.75">
      <c r="A14" s="652"/>
      <c r="B14" s="652"/>
      <c r="C14" s="652"/>
      <c r="D14" s="652"/>
      <c r="E14" s="652"/>
      <c r="F14" s="652"/>
      <c r="G14" s="652"/>
      <c r="H14" s="652"/>
      <c r="I14" s="652"/>
    </row>
    <row r="15" spans="1:9" ht="12.75">
      <c r="A15" s="836" t="s">
        <v>1172</v>
      </c>
      <c r="B15" s="837"/>
      <c r="C15" s="837"/>
      <c r="D15" s="837"/>
      <c r="E15" s="837"/>
      <c r="F15" s="837"/>
      <c r="G15" s="837"/>
      <c r="H15" s="837"/>
      <c r="I15" s="837"/>
    </row>
    <row r="16" spans="1:9" ht="36" customHeight="1">
      <c r="A16" s="653" t="s">
        <v>86</v>
      </c>
      <c r="B16" s="654" t="s">
        <v>25</v>
      </c>
      <c r="C16" s="654" t="s">
        <v>145</v>
      </c>
      <c r="D16" s="637" t="s">
        <v>1321</v>
      </c>
      <c r="E16" s="661" t="s">
        <v>1322</v>
      </c>
      <c r="F16" s="637">
        <v>2016</v>
      </c>
      <c r="G16" s="637">
        <v>2017</v>
      </c>
      <c r="H16" s="637">
        <v>2018</v>
      </c>
      <c r="I16" s="637">
        <v>2019</v>
      </c>
    </row>
    <row r="17" spans="1:9" ht="12.75">
      <c r="A17" s="655" t="s">
        <v>90</v>
      </c>
      <c r="B17" s="503" t="s">
        <v>1173</v>
      </c>
      <c r="C17" s="656" t="s">
        <v>157</v>
      </c>
      <c r="D17" s="675">
        <f aca="true" t="shared" si="0" ref="D17:I17">SUM(D18:D19)</f>
        <v>3102.17</v>
      </c>
      <c r="E17" s="675">
        <f t="shared" si="0"/>
        <v>3334.75</v>
      </c>
      <c r="F17" s="675">
        <f t="shared" si="0"/>
        <v>3456.5691611785705</v>
      </c>
      <c r="G17" s="675">
        <f t="shared" si="0"/>
        <v>3575.9936256972896</v>
      </c>
      <c r="H17" s="675">
        <f t="shared" si="0"/>
        <v>3685.38327070737</v>
      </c>
      <c r="I17" s="675">
        <f t="shared" si="0"/>
        <v>3779.8764977683068</v>
      </c>
    </row>
    <row r="18" spans="1:9" ht="12.75">
      <c r="A18" s="655" t="s">
        <v>586</v>
      </c>
      <c r="B18" s="503" t="s">
        <v>1174</v>
      </c>
      <c r="C18" s="656" t="s">
        <v>157</v>
      </c>
      <c r="D18" s="676">
        <v>2393.81</v>
      </c>
      <c r="E18" s="676">
        <v>2593.1</v>
      </c>
      <c r="F18" s="677">
        <f aca="true" t="shared" si="1" ref="F18:I20">E18*F$13</f>
        <v>2687.8265212840997</v>
      </c>
      <c r="G18" s="677">
        <f t="shared" si="1"/>
        <v>2780.690927594465</v>
      </c>
      <c r="H18" s="677">
        <f t="shared" si="1"/>
        <v>2865.7522630695794</v>
      </c>
      <c r="I18" s="677">
        <f t="shared" si="1"/>
        <v>2939.2301510946836</v>
      </c>
    </row>
    <row r="19" spans="1:9" ht="33.75">
      <c r="A19" s="655" t="s">
        <v>588</v>
      </c>
      <c r="B19" s="503" t="s">
        <v>1175</v>
      </c>
      <c r="C19" s="656" t="s">
        <v>157</v>
      </c>
      <c r="D19" s="676">
        <v>708.36</v>
      </c>
      <c r="E19" s="676">
        <v>741.65</v>
      </c>
      <c r="F19" s="677">
        <f t="shared" si="1"/>
        <v>768.7426398944709</v>
      </c>
      <c r="G19" s="677">
        <f t="shared" si="1"/>
        <v>795.3026981028248</v>
      </c>
      <c r="H19" s="677">
        <f t="shared" si="1"/>
        <v>819.6310076377902</v>
      </c>
      <c r="I19" s="677">
        <f t="shared" si="1"/>
        <v>840.6463466736232</v>
      </c>
    </row>
    <row r="20" spans="1:9" ht="12.75">
      <c r="A20" s="655" t="s">
        <v>94</v>
      </c>
      <c r="B20" s="503" t="s">
        <v>1176</v>
      </c>
      <c r="C20" s="656" t="s">
        <v>157</v>
      </c>
      <c r="D20" s="678">
        <v>15527.11</v>
      </c>
      <c r="E20" s="678">
        <v>29435.61</v>
      </c>
      <c r="F20" s="677">
        <f t="shared" si="1"/>
        <v>30510.899397699843</v>
      </c>
      <c r="G20" s="677">
        <f t="shared" si="1"/>
        <v>31565.050971890367</v>
      </c>
      <c r="H20" s="675">
        <f t="shared" si="1"/>
        <v>32530.62588112049</v>
      </c>
      <c r="I20" s="675">
        <f t="shared" si="1"/>
        <v>33364.71112871242</v>
      </c>
    </row>
    <row r="21" spans="1:9" ht="12.75">
      <c r="A21" s="655" t="s">
        <v>96</v>
      </c>
      <c r="B21" s="503" t="s">
        <v>178</v>
      </c>
      <c r="C21" s="656" t="s">
        <v>157</v>
      </c>
      <c r="D21" s="675">
        <f aca="true" t="shared" si="2" ref="D21:I21">D22+D23+D30+D31+D32+D33+D34</f>
        <v>15822.740000000002</v>
      </c>
      <c r="E21" s="675">
        <f t="shared" si="2"/>
        <v>6513.049999999999</v>
      </c>
      <c r="F21" s="675">
        <f t="shared" si="2"/>
        <v>6750.973168967416</v>
      </c>
      <c r="G21" s="675">
        <f t="shared" si="2"/>
        <v>6984.21929195524</v>
      </c>
      <c r="H21" s="675">
        <f t="shared" si="2"/>
        <v>7197.866560096149</v>
      </c>
      <c r="I21" s="675">
        <f t="shared" si="2"/>
        <v>7382.419858697014</v>
      </c>
    </row>
    <row r="22" spans="1:9" ht="12.75">
      <c r="A22" s="655" t="s">
        <v>1177</v>
      </c>
      <c r="B22" s="504" t="s">
        <v>176</v>
      </c>
      <c r="C22" s="656" t="s">
        <v>157</v>
      </c>
      <c r="D22" s="676">
        <v>2380.09</v>
      </c>
      <c r="E22" s="676">
        <v>3404.81</v>
      </c>
      <c r="F22" s="677">
        <f>E22*F$13</f>
        <v>3529.188468602567</v>
      </c>
      <c r="G22" s="677">
        <f>F22*G$13</f>
        <v>3651.121930192785</v>
      </c>
      <c r="H22" s="677">
        <f>G22*H$13</f>
        <v>3762.809750037382</v>
      </c>
      <c r="I22" s="677">
        <f>H22*I$13</f>
        <v>3859.2881920283407</v>
      </c>
    </row>
    <row r="23" spans="1:9" ht="12.75">
      <c r="A23" s="655" t="s">
        <v>1178</v>
      </c>
      <c r="B23" s="505" t="s">
        <v>1179</v>
      </c>
      <c r="C23" s="657" t="s">
        <v>157</v>
      </c>
      <c r="D23" s="677">
        <f aca="true" t="shared" si="3" ref="D23:I23">SUM(D24:D29)</f>
        <v>416.36</v>
      </c>
      <c r="E23" s="677">
        <f t="shared" si="3"/>
        <v>562.21</v>
      </c>
      <c r="F23" s="677">
        <f t="shared" si="3"/>
        <v>582.7476566777732</v>
      </c>
      <c r="G23" s="677">
        <f t="shared" si="3"/>
        <v>602.8815882159902</v>
      </c>
      <c r="H23" s="677">
        <f t="shared" si="3"/>
        <v>621.3237359995173</v>
      </c>
      <c r="I23" s="677">
        <f t="shared" si="3"/>
        <v>637.254476590545</v>
      </c>
    </row>
    <row r="24" spans="1:9" ht="12.75">
      <c r="A24" s="655" t="s">
        <v>1180</v>
      </c>
      <c r="B24" s="506" t="s">
        <v>194</v>
      </c>
      <c r="C24" s="656" t="s">
        <v>157</v>
      </c>
      <c r="D24" s="676">
        <v>236.98</v>
      </c>
      <c r="E24" s="676">
        <v>248.11</v>
      </c>
      <c r="F24" s="677">
        <f>E24*F$13</f>
        <v>257.1735136307115</v>
      </c>
      <c r="G24" s="677">
        <f>F24*G$13</f>
        <v>266.05885852665256</v>
      </c>
      <c r="H24" s="677">
        <f aca="true" t="shared" si="4" ref="H24:I36">G24*H$13</f>
        <v>274.1975990089828</v>
      </c>
      <c r="I24" s="677">
        <f t="shared" si="4"/>
        <v>281.22802544757315</v>
      </c>
    </row>
    <row r="25" spans="1:9" ht="22.5">
      <c r="A25" s="655" t="s">
        <v>1181</v>
      </c>
      <c r="B25" s="506" t="s">
        <v>1182</v>
      </c>
      <c r="C25" s="656" t="s">
        <v>157</v>
      </c>
      <c r="D25" s="676"/>
      <c r="E25" s="676"/>
      <c r="F25" s="677">
        <f aca="true" t="shared" si="5" ref="F25:F36">E25*F$13</f>
        <v>0</v>
      </c>
      <c r="G25" s="677">
        <f aca="true" t="shared" si="6" ref="G25:G36">F25*G$13</f>
        <v>0</v>
      </c>
      <c r="H25" s="677">
        <f t="shared" si="4"/>
        <v>0</v>
      </c>
      <c r="I25" s="677">
        <f t="shared" si="4"/>
        <v>0</v>
      </c>
    </row>
    <row r="26" spans="1:9" ht="12.75">
      <c r="A26" s="655" t="s">
        <v>1183</v>
      </c>
      <c r="B26" s="506" t="s">
        <v>1184</v>
      </c>
      <c r="C26" s="656" t="s">
        <v>157</v>
      </c>
      <c r="D26" s="676">
        <v>179.38</v>
      </c>
      <c r="E26" s="676">
        <v>314.1</v>
      </c>
      <c r="F26" s="677">
        <f t="shared" si="5"/>
        <v>325.57414304706174</v>
      </c>
      <c r="G26" s="677">
        <f t="shared" si="6"/>
        <v>336.8227296893377</v>
      </c>
      <c r="H26" s="677">
        <f t="shared" si="4"/>
        <v>347.12613699053446</v>
      </c>
      <c r="I26" s="677">
        <f t="shared" si="4"/>
        <v>356.0264511429718</v>
      </c>
    </row>
    <row r="27" spans="1:9" ht="12.75">
      <c r="A27" s="655" t="s">
        <v>1185</v>
      </c>
      <c r="B27" s="506" t="s">
        <v>1186</v>
      </c>
      <c r="C27" s="656" t="s">
        <v>157</v>
      </c>
      <c r="D27" s="676"/>
      <c r="E27" s="676"/>
      <c r="F27" s="677">
        <f t="shared" si="5"/>
        <v>0</v>
      </c>
      <c r="G27" s="677">
        <f t="shared" si="6"/>
        <v>0</v>
      </c>
      <c r="H27" s="677">
        <f t="shared" si="4"/>
        <v>0</v>
      </c>
      <c r="I27" s="677">
        <f t="shared" si="4"/>
        <v>0</v>
      </c>
    </row>
    <row r="28" spans="1:9" ht="12.75">
      <c r="A28" s="655" t="s">
        <v>1187</v>
      </c>
      <c r="B28" s="506" t="s">
        <v>1188</v>
      </c>
      <c r="C28" s="656" t="s">
        <v>157</v>
      </c>
      <c r="D28" s="676"/>
      <c r="E28" s="676"/>
      <c r="F28" s="677">
        <f t="shared" si="5"/>
        <v>0</v>
      </c>
      <c r="G28" s="677">
        <f t="shared" si="6"/>
        <v>0</v>
      </c>
      <c r="H28" s="677">
        <f t="shared" si="4"/>
        <v>0</v>
      </c>
      <c r="I28" s="677">
        <f t="shared" si="4"/>
        <v>0</v>
      </c>
    </row>
    <row r="29" spans="1:9" ht="12.75">
      <c r="A29" s="655" t="s">
        <v>1189</v>
      </c>
      <c r="B29" s="507" t="s">
        <v>1190</v>
      </c>
      <c r="C29" s="656" t="s">
        <v>157</v>
      </c>
      <c r="D29" s="676"/>
      <c r="E29" s="676"/>
      <c r="F29" s="677">
        <f t="shared" si="5"/>
        <v>0</v>
      </c>
      <c r="G29" s="677">
        <f t="shared" si="6"/>
        <v>0</v>
      </c>
      <c r="H29" s="677">
        <f t="shared" si="4"/>
        <v>0</v>
      </c>
      <c r="I29" s="677">
        <f t="shared" si="4"/>
        <v>0</v>
      </c>
    </row>
    <row r="30" spans="1:9" ht="12.75">
      <c r="A30" s="655" t="s">
        <v>1191</v>
      </c>
      <c r="B30" s="503" t="s">
        <v>1192</v>
      </c>
      <c r="C30" s="656" t="s">
        <v>157</v>
      </c>
      <c r="D30" s="676">
        <v>17.38</v>
      </c>
      <c r="E30" s="676">
        <v>31.41</v>
      </c>
      <c r="F30" s="677">
        <f t="shared" si="5"/>
        <v>32.55741430470617</v>
      </c>
      <c r="G30" s="677">
        <f t="shared" si="6"/>
        <v>33.682272968933766</v>
      </c>
      <c r="H30" s="677">
        <f t="shared" si="4"/>
        <v>34.71261369905345</v>
      </c>
      <c r="I30" s="677">
        <f t="shared" si="4"/>
        <v>35.60264511429718</v>
      </c>
    </row>
    <row r="31" spans="1:9" ht="12.75">
      <c r="A31" s="655" t="s">
        <v>1193</v>
      </c>
      <c r="B31" s="503" t="s">
        <v>1194</v>
      </c>
      <c r="C31" s="656" t="s">
        <v>157</v>
      </c>
      <c r="D31" s="676">
        <v>30.59</v>
      </c>
      <c r="E31" s="676">
        <v>78.52</v>
      </c>
      <c r="F31" s="677">
        <f t="shared" si="5"/>
        <v>81.38835311065039</v>
      </c>
      <c r="G31" s="677">
        <f t="shared" si="6"/>
        <v>84.20032071062334</v>
      </c>
      <c r="H31" s="677">
        <f t="shared" si="4"/>
        <v>86.7760085211613</v>
      </c>
      <c r="I31" s="677">
        <f t="shared" si="4"/>
        <v>89.00094537964388</v>
      </c>
    </row>
    <row r="32" spans="1:9" ht="22.5">
      <c r="A32" s="655" t="s">
        <v>1195</v>
      </c>
      <c r="B32" s="503" t="s">
        <v>1196</v>
      </c>
      <c r="C32" s="656" t="s">
        <v>157</v>
      </c>
      <c r="D32" s="676">
        <v>234.33</v>
      </c>
      <c r="E32" s="676">
        <v>397.86</v>
      </c>
      <c r="F32" s="677">
        <f t="shared" si="5"/>
        <v>412.3939145262782</v>
      </c>
      <c r="G32" s="677">
        <f t="shared" si="6"/>
        <v>426.6421242731611</v>
      </c>
      <c r="H32" s="677">
        <f t="shared" si="4"/>
        <v>439.693106854677</v>
      </c>
      <c r="I32" s="677">
        <f t="shared" si="4"/>
        <v>450.96683811443097</v>
      </c>
    </row>
    <row r="33" spans="1:9" ht="12.75">
      <c r="A33" s="655" t="s">
        <v>1197</v>
      </c>
      <c r="B33" s="503" t="s">
        <v>210</v>
      </c>
      <c r="C33" s="656" t="s">
        <v>157</v>
      </c>
      <c r="D33" s="676">
        <v>186.15</v>
      </c>
      <c r="E33" s="676">
        <v>186.15</v>
      </c>
      <c r="F33" s="677">
        <f t="shared" si="5"/>
        <v>192.95010101308674</v>
      </c>
      <c r="G33" s="677">
        <f t="shared" si="6"/>
        <v>199.61652700308886</v>
      </c>
      <c r="H33" s="677">
        <f t="shared" si="4"/>
        <v>205.72279656411334</v>
      </c>
      <c r="I33" s="677">
        <f t="shared" si="4"/>
        <v>210.99752906801723</v>
      </c>
    </row>
    <row r="34" spans="1:9" ht="12.75">
      <c r="A34" s="655" t="s">
        <v>1198</v>
      </c>
      <c r="B34" s="503" t="s">
        <v>1199</v>
      </c>
      <c r="C34" s="656" t="s">
        <v>157</v>
      </c>
      <c r="D34" s="676">
        <v>12557.84</v>
      </c>
      <c r="E34" s="676">
        <v>1852.09</v>
      </c>
      <c r="F34" s="677">
        <f t="shared" si="5"/>
        <v>1919.7472607323543</v>
      </c>
      <c r="G34" s="677">
        <f t="shared" si="6"/>
        <v>1986.0745285906569</v>
      </c>
      <c r="H34" s="677">
        <f t="shared" si="4"/>
        <v>2046.828548420245</v>
      </c>
      <c r="I34" s="677">
        <f t="shared" si="4"/>
        <v>2099.3092324017402</v>
      </c>
    </row>
    <row r="35" spans="1:9" ht="12.75">
      <c r="A35" s="680" t="s">
        <v>98</v>
      </c>
      <c r="B35" s="508" t="s">
        <v>1204</v>
      </c>
      <c r="C35" s="663" t="s">
        <v>157</v>
      </c>
      <c r="D35" s="664">
        <v>1137.62</v>
      </c>
      <c r="E35" s="664">
        <v>1371.68</v>
      </c>
      <c r="F35" s="677">
        <f t="shared" si="5"/>
        <v>1421.7877762967005</v>
      </c>
      <c r="G35" s="677">
        <f>F35*G$13</f>
        <v>1470.9105439677512</v>
      </c>
      <c r="H35" s="677">
        <f>G35*H$13</f>
        <v>1515.9056975077247</v>
      </c>
      <c r="I35" s="677">
        <f>H35*I$13</f>
        <v>1554.7735195918228</v>
      </c>
    </row>
    <row r="36" spans="1:9" ht="12.75">
      <c r="A36" s="681" t="s">
        <v>311</v>
      </c>
      <c r="B36" s="503" t="s">
        <v>1200</v>
      </c>
      <c r="C36" s="656" t="s">
        <v>157</v>
      </c>
      <c r="D36" s="676">
        <v>1440.77</v>
      </c>
      <c r="E36" s="676"/>
      <c r="F36" s="677">
        <f t="shared" si="5"/>
        <v>0</v>
      </c>
      <c r="G36" s="677">
        <f t="shared" si="6"/>
        <v>0</v>
      </c>
      <c r="H36" s="677">
        <f t="shared" si="4"/>
        <v>0</v>
      </c>
      <c r="I36" s="677">
        <f t="shared" si="4"/>
        <v>0</v>
      </c>
    </row>
    <row r="37" spans="1:9" ht="12.75">
      <c r="A37" s="658"/>
      <c r="B37" s="659" t="s">
        <v>1201</v>
      </c>
      <c r="C37" s="660" t="s">
        <v>157</v>
      </c>
      <c r="D37" s="679">
        <f aca="true" t="shared" si="7" ref="D37:I37">D21+D20+D17+D35+D36</f>
        <v>37030.41</v>
      </c>
      <c r="E37" s="679">
        <f t="shared" si="7"/>
        <v>40655.090000000004</v>
      </c>
      <c r="F37" s="679">
        <f t="shared" si="7"/>
        <v>42140.22950414254</v>
      </c>
      <c r="G37" s="679">
        <f t="shared" si="7"/>
        <v>43596.17443351065</v>
      </c>
      <c r="H37" s="679">
        <f t="shared" si="7"/>
        <v>44929.78140943173</v>
      </c>
      <c r="I37" s="679">
        <f t="shared" si="7"/>
        <v>46081.78100476957</v>
      </c>
    </row>
    <row r="39" spans="1:9" ht="12.75">
      <c r="A39" s="652"/>
      <c r="B39" s="652"/>
      <c r="C39" s="652"/>
      <c r="D39" s="652"/>
      <c r="E39" s="652"/>
      <c r="F39" s="652"/>
      <c r="G39" s="652"/>
      <c r="H39" s="652"/>
      <c r="I39" s="652"/>
    </row>
    <row r="40" spans="1:9" ht="12.75">
      <c r="A40" s="838" t="s">
        <v>1202</v>
      </c>
      <c r="B40" s="839"/>
      <c r="C40" s="839"/>
      <c r="D40" s="839"/>
      <c r="E40" s="839"/>
      <c r="F40" s="839"/>
      <c r="G40" s="839"/>
      <c r="H40" s="839"/>
      <c r="I40" s="839"/>
    </row>
    <row r="41" spans="1:9" ht="22.5">
      <c r="A41" s="653" t="s">
        <v>86</v>
      </c>
      <c r="B41" s="654" t="s">
        <v>25</v>
      </c>
      <c r="C41" s="654" t="s">
        <v>145</v>
      </c>
      <c r="D41" s="637" t="s">
        <v>1321</v>
      </c>
      <c r="E41" s="637">
        <v>2015</v>
      </c>
      <c r="F41" s="637">
        <v>2016</v>
      </c>
      <c r="G41" s="637">
        <v>2017</v>
      </c>
      <c r="H41" s="637">
        <v>2018</v>
      </c>
      <c r="I41" s="637">
        <v>2019</v>
      </c>
    </row>
    <row r="42" spans="1:9" ht="12.75">
      <c r="A42" s="662" t="s">
        <v>314</v>
      </c>
      <c r="B42" s="508" t="s">
        <v>1203</v>
      </c>
      <c r="C42" s="663" t="s">
        <v>157</v>
      </c>
      <c r="D42" s="683"/>
      <c r="E42" s="683"/>
      <c r="F42" s="683"/>
      <c r="G42" s="683"/>
      <c r="H42" s="683"/>
      <c r="I42" s="683"/>
    </row>
    <row r="43" spans="1:9" ht="12.75">
      <c r="A43" s="680" t="s">
        <v>316</v>
      </c>
      <c r="B43" s="508" t="s">
        <v>1205</v>
      </c>
      <c r="C43" s="663" t="s">
        <v>157</v>
      </c>
      <c r="D43" s="683">
        <v>249.74</v>
      </c>
      <c r="E43" s="683">
        <v>85.86</v>
      </c>
      <c r="F43" s="683">
        <v>91.87</v>
      </c>
      <c r="G43" s="683">
        <v>96.46</v>
      </c>
      <c r="H43" s="683">
        <v>101.28</v>
      </c>
      <c r="I43" s="683">
        <v>106.35</v>
      </c>
    </row>
    <row r="44" spans="1:9" ht="12.75">
      <c r="A44" s="682" t="s">
        <v>318</v>
      </c>
      <c r="B44" s="509" t="s">
        <v>1206</v>
      </c>
      <c r="C44" s="673" t="s">
        <v>157</v>
      </c>
      <c r="D44" s="684">
        <v>683.82</v>
      </c>
      <c r="E44" s="684">
        <v>253.67</v>
      </c>
      <c r="F44" s="684">
        <v>266.35</v>
      </c>
      <c r="G44" s="684">
        <v>279.66</v>
      </c>
      <c r="H44" s="684">
        <v>293.65</v>
      </c>
      <c r="I44" s="684">
        <v>308.33</v>
      </c>
    </row>
    <row r="45" spans="1:9" ht="12.75">
      <c r="A45" s="682" t="s">
        <v>320</v>
      </c>
      <c r="B45" s="509" t="s">
        <v>1207</v>
      </c>
      <c r="C45" s="673" t="s">
        <v>157</v>
      </c>
      <c r="D45" s="685">
        <f aca="true" t="shared" si="8" ref="D45:I45">SUM(D46:D48)</f>
        <v>413.82</v>
      </c>
      <c r="E45" s="685">
        <f t="shared" si="8"/>
        <v>562.11</v>
      </c>
      <c r="F45" s="685">
        <f t="shared" si="8"/>
        <v>658.77</v>
      </c>
      <c r="G45" s="685">
        <f t="shared" si="8"/>
        <v>744.89</v>
      </c>
      <c r="H45" s="685">
        <f t="shared" si="8"/>
        <v>830.445</v>
      </c>
      <c r="I45" s="685">
        <f t="shared" si="8"/>
        <v>873.1</v>
      </c>
    </row>
    <row r="46" spans="1:9" ht="12.75">
      <c r="A46" s="682" t="s">
        <v>1326</v>
      </c>
      <c r="B46" s="510" t="s">
        <v>186</v>
      </c>
      <c r="C46" s="673" t="s">
        <v>157</v>
      </c>
      <c r="D46" s="686">
        <v>280.89</v>
      </c>
      <c r="E46" s="686">
        <v>267.01</v>
      </c>
      <c r="F46" s="686">
        <v>293.71</v>
      </c>
      <c r="G46" s="686">
        <v>308.39</v>
      </c>
      <c r="H46" s="686">
        <v>323.81</v>
      </c>
      <c r="I46" s="686">
        <v>340</v>
      </c>
    </row>
    <row r="47" spans="1:9" ht="12.75">
      <c r="A47" s="682" t="s">
        <v>1327</v>
      </c>
      <c r="B47" s="510" t="s">
        <v>1208</v>
      </c>
      <c r="C47" s="673" t="s">
        <v>157</v>
      </c>
      <c r="D47" s="686">
        <v>64.45</v>
      </c>
      <c r="E47" s="686">
        <v>226.34</v>
      </c>
      <c r="F47" s="686">
        <v>294.24</v>
      </c>
      <c r="G47" s="686">
        <v>362.14</v>
      </c>
      <c r="H47" s="686">
        <v>430.045</v>
      </c>
      <c r="I47" s="686">
        <v>452.68</v>
      </c>
    </row>
    <row r="48" spans="1:9" ht="12.75">
      <c r="A48" s="682" t="s">
        <v>1328</v>
      </c>
      <c r="B48" s="510" t="s">
        <v>1209</v>
      </c>
      <c r="C48" s="673" t="s">
        <v>157</v>
      </c>
      <c r="D48" s="686">
        <v>68.48</v>
      </c>
      <c r="E48" s="686">
        <v>68.76</v>
      </c>
      <c r="F48" s="686">
        <v>70.82</v>
      </c>
      <c r="G48" s="686">
        <v>74.36</v>
      </c>
      <c r="H48" s="686">
        <v>76.59</v>
      </c>
      <c r="I48" s="686">
        <v>80.42</v>
      </c>
    </row>
    <row r="49" spans="1:9" ht="12.75">
      <c r="A49" s="682" t="s">
        <v>322</v>
      </c>
      <c r="B49" s="508" t="s">
        <v>1329</v>
      </c>
      <c r="C49" s="673" t="s">
        <v>157</v>
      </c>
      <c r="D49" s="686">
        <v>4720.24</v>
      </c>
      <c r="E49" s="686">
        <v>8948.43</v>
      </c>
      <c r="F49" s="686">
        <v>9275.31</v>
      </c>
      <c r="G49" s="686">
        <v>9595.775</v>
      </c>
      <c r="H49" s="686">
        <v>9889.31</v>
      </c>
      <c r="I49" s="686">
        <v>10142.87</v>
      </c>
    </row>
    <row r="50" spans="1:9" ht="12.75">
      <c r="A50" s="682" t="s">
        <v>326</v>
      </c>
      <c r="B50" s="509" t="s">
        <v>1210</v>
      </c>
      <c r="C50" s="673" t="s">
        <v>157</v>
      </c>
      <c r="D50" s="686"/>
      <c r="E50" s="686">
        <v>1373.37</v>
      </c>
      <c r="F50" s="686">
        <v>1929.11</v>
      </c>
      <c r="G50" s="686">
        <v>1996.63</v>
      </c>
      <c r="H50" s="686">
        <v>2096.46</v>
      </c>
      <c r="I50" s="686">
        <v>2171.93</v>
      </c>
    </row>
    <row r="51" spans="1:9" ht="12.75">
      <c r="A51" s="682" t="s">
        <v>328</v>
      </c>
      <c r="B51" s="509" t="s">
        <v>246</v>
      </c>
      <c r="C51" s="673" t="s">
        <v>157</v>
      </c>
      <c r="D51" s="686">
        <v>95.42</v>
      </c>
      <c r="E51" s="686">
        <v>1254.99</v>
      </c>
      <c r="F51" s="687">
        <v>1491.42</v>
      </c>
      <c r="G51" s="687">
        <v>1176</v>
      </c>
      <c r="H51" s="687">
        <v>1889.6</v>
      </c>
      <c r="I51" s="687">
        <v>998.2</v>
      </c>
    </row>
    <row r="52" spans="1:9" ht="12.75">
      <c r="A52" s="682" t="s">
        <v>330</v>
      </c>
      <c r="B52" s="514" t="s">
        <v>1323</v>
      </c>
      <c r="C52" s="673" t="s">
        <v>157</v>
      </c>
      <c r="D52" s="684"/>
      <c r="E52" s="684"/>
      <c r="F52" s="684"/>
      <c r="G52" s="684"/>
      <c r="H52" s="684"/>
      <c r="I52" s="684"/>
    </row>
    <row r="53" spans="1:9" ht="12.75">
      <c r="A53" s="682" t="s">
        <v>332</v>
      </c>
      <c r="B53" s="509" t="s">
        <v>1211</v>
      </c>
      <c r="C53" s="673" t="s">
        <v>157</v>
      </c>
      <c r="D53" s="684">
        <v>2104.38</v>
      </c>
      <c r="E53" s="684">
        <v>3334.12</v>
      </c>
      <c r="F53" s="684">
        <v>3334.12</v>
      </c>
      <c r="G53" s="684">
        <v>3334.12</v>
      </c>
      <c r="H53" s="684">
        <v>3334.12</v>
      </c>
      <c r="I53" s="684">
        <v>3334.12</v>
      </c>
    </row>
    <row r="54" spans="1:9" ht="12.75">
      <c r="A54" s="682" t="s">
        <v>334</v>
      </c>
      <c r="B54" s="509" t="s">
        <v>1212</v>
      </c>
      <c r="C54" s="673" t="s">
        <v>157</v>
      </c>
      <c r="D54" s="684"/>
      <c r="E54" s="684">
        <v>4580</v>
      </c>
      <c r="F54" s="684">
        <v>6980</v>
      </c>
      <c r="G54" s="684">
        <v>5380</v>
      </c>
      <c r="H54" s="684">
        <v>8898</v>
      </c>
      <c r="I54" s="684">
        <v>4491</v>
      </c>
    </row>
    <row r="55" spans="1:9" ht="22.5">
      <c r="A55" s="672"/>
      <c r="B55" s="509" t="s">
        <v>1213</v>
      </c>
      <c r="C55" s="673" t="s">
        <v>157</v>
      </c>
      <c r="D55" s="511">
        <f aca="true" t="shared" si="9" ref="D55:I55">IF(D65=0,0,D54/D65)</f>
        <v>0</v>
      </c>
      <c r="E55" s="511">
        <f t="shared" si="9"/>
        <v>0.07149452434677342</v>
      </c>
      <c r="F55" s="511">
        <f t="shared" si="9"/>
        <v>0.10549036625572052</v>
      </c>
      <c r="G55" s="511">
        <f t="shared" si="9"/>
        <v>0.08126923888394916</v>
      </c>
      <c r="H55" s="511">
        <f t="shared" si="9"/>
        <v>0.12313415633278871</v>
      </c>
      <c r="I55" s="511">
        <f t="shared" si="9"/>
        <v>0.0655546930524087</v>
      </c>
    </row>
    <row r="56" spans="1:9" ht="18" customHeight="1">
      <c r="A56" s="674"/>
      <c r="B56" s="659" t="s">
        <v>1214</v>
      </c>
      <c r="C56" s="660" t="s">
        <v>157</v>
      </c>
      <c r="D56" s="679">
        <f aca="true" t="shared" si="10" ref="D56:I56">D42+D44+D45+D50+D51+D52+D49+D43+D53+D54</f>
        <v>8267.42</v>
      </c>
      <c r="E56" s="679">
        <f t="shared" si="10"/>
        <v>20392.55</v>
      </c>
      <c r="F56" s="679">
        <f t="shared" si="10"/>
        <v>24026.95</v>
      </c>
      <c r="G56" s="679">
        <f t="shared" si="10"/>
        <v>22603.535</v>
      </c>
      <c r="H56" s="679">
        <f t="shared" si="10"/>
        <v>27332.865</v>
      </c>
      <c r="I56" s="679">
        <f t="shared" si="10"/>
        <v>22425.9</v>
      </c>
    </row>
    <row r="58" spans="1:9" ht="12.75">
      <c r="A58" s="652"/>
      <c r="B58" s="652"/>
      <c r="C58" s="652"/>
      <c r="D58" s="652"/>
      <c r="E58" s="652"/>
      <c r="F58" s="652"/>
      <c r="G58" s="652"/>
      <c r="H58" s="652"/>
      <c r="I58" s="652"/>
    </row>
    <row r="59" spans="1:9" ht="21.75" customHeight="1">
      <c r="A59" s="840" t="s">
        <v>1324</v>
      </c>
      <c r="B59" s="841"/>
      <c r="C59" s="841"/>
      <c r="D59" s="841"/>
      <c r="E59" s="841"/>
      <c r="F59" s="841"/>
      <c r="G59" s="841"/>
      <c r="H59" s="841"/>
      <c r="I59" s="841"/>
    </row>
    <row r="60" spans="1:9" ht="22.5">
      <c r="A60" s="653" t="s">
        <v>86</v>
      </c>
      <c r="B60" s="654" t="s">
        <v>25</v>
      </c>
      <c r="C60" s="654" t="s">
        <v>145</v>
      </c>
      <c r="D60" s="637" t="s">
        <v>1321</v>
      </c>
      <c r="E60" s="637">
        <v>2015</v>
      </c>
      <c r="F60" s="637">
        <v>2016</v>
      </c>
      <c r="G60" s="637">
        <v>2017</v>
      </c>
      <c r="H60" s="637">
        <v>2018</v>
      </c>
      <c r="I60" s="637">
        <v>2019</v>
      </c>
    </row>
    <row r="61" spans="1:9" ht="33.75">
      <c r="A61" s="662" t="s">
        <v>14</v>
      </c>
      <c r="B61" s="508" t="s">
        <v>1324</v>
      </c>
      <c r="C61" s="663" t="s">
        <v>157</v>
      </c>
      <c r="D61" s="683">
        <v>-2627.08</v>
      </c>
      <c r="E61" s="683">
        <v>3013.21</v>
      </c>
      <c r="F61" s="683"/>
      <c r="G61" s="683"/>
      <c r="H61" s="683"/>
      <c r="I61" s="683"/>
    </row>
    <row r="62" spans="1:9" ht="12.75">
      <c r="A62" s="652"/>
      <c r="B62" s="652"/>
      <c r="C62" s="652"/>
      <c r="D62" s="652"/>
      <c r="E62" s="652"/>
      <c r="F62" s="652"/>
      <c r="G62" s="652"/>
      <c r="H62" s="652"/>
      <c r="I62" s="652"/>
    </row>
    <row r="63" spans="1:9" ht="12.75">
      <c r="A63" s="665" t="s">
        <v>1215</v>
      </c>
      <c r="B63" s="636"/>
      <c r="C63" s="636"/>
      <c r="D63" s="636"/>
      <c r="E63" s="636"/>
      <c r="F63" s="636"/>
      <c r="G63" s="636"/>
      <c r="H63" s="636"/>
      <c r="I63" s="636"/>
    </row>
    <row r="64" spans="1:9" ht="33" customHeight="1">
      <c r="A64" s="653" t="s">
        <v>86</v>
      </c>
      <c r="B64" s="654" t="s">
        <v>25</v>
      </c>
      <c r="C64" s="654" t="s">
        <v>145</v>
      </c>
      <c r="D64" s="637" t="s">
        <v>1321</v>
      </c>
      <c r="E64" s="637">
        <v>2015</v>
      </c>
      <c r="F64" s="637">
        <v>2016</v>
      </c>
      <c r="G64" s="637">
        <v>2017</v>
      </c>
      <c r="H64" s="637">
        <v>2018</v>
      </c>
      <c r="I64" s="637">
        <v>2019</v>
      </c>
    </row>
    <row r="65" spans="1:9" ht="21" customHeight="1">
      <c r="A65" s="666" t="s">
        <v>397</v>
      </c>
      <c r="B65" s="667" t="s">
        <v>1216</v>
      </c>
      <c r="C65" s="668" t="s">
        <v>157</v>
      </c>
      <c r="D65" s="688">
        <f aca="true" t="shared" si="11" ref="D65:I65">SUM(D37,D56,D61)</f>
        <v>42670.75</v>
      </c>
      <c r="E65" s="688">
        <f t="shared" si="11"/>
        <v>64060.85</v>
      </c>
      <c r="F65" s="688">
        <f t="shared" si="11"/>
        <v>66167.17950414254</v>
      </c>
      <c r="G65" s="688">
        <f t="shared" si="11"/>
        <v>66199.70943351065</v>
      </c>
      <c r="H65" s="688">
        <f t="shared" si="11"/>
        <v>72262.64640943173</v>
      </c>
      <c r="I65" s="688">
        <f t="shared" si="11"/>
        <v>68507.68100476958</v>
      </c>
    </row>
    <row r="68" spans="1:5" ht="15.75">
      <c r="A68" s="669" t="s">
        <v>1348</v>
      </c>
      <c r="B68" s="670"/>
      <c r="C68" s="671"/>
      <c r="D68" s="670" t="s">
        <v>1351</v>
      </c>
      <c r="E68" s="608"/>
    </row>
    <row r="69" spans="1:5" ht="15.75">
      <c r="A69" s="669"/>
      <c r="B69" s="669"/>
      <c r="C69" s="669" t="s">
        <v>1288</v>
      </c>
      <c r="D69" s="669"/>
      <c r="E69" s="576"/>
    </row>
    <row r="70" spans="1:5" ht="15.75">
      <c r="A70" s="669" t="s">
        <v>1352</v>
      </c>
      <c r="B70" s="669"/>
      <c r="C70" s="669"/>
      <c r="D70" s="669"/>
      <c r="E70" s="576"/>
    </row>
  </sheetData>
  <sheetProtection/>
  <mergeCells count="5">
    <mergeCell ref="A4:H4"/>
    <mergeCell ref="E6:H6"/>
    <mergeCell ref="A15:I15"/>
    <mergeCell ref="A40:I40"/>
    <mergeCell ref="A59:I59"/>
  </mergeCells>
  <dataValidations count="1">
    <dataValidation type="decimal" allowBlank="1" showInputMessage="1" showErrorMessage="1" error="Ввведеное значение неверно" sqref="G12:I12 D22:E22 D18:E20 G8:I10 D51:E51 D24:E36 D46:I50 D65:I65 D42:I44 D61:I61 D52:I55">
      <formula1>-1000000000000000</formula1>
      <formula2>1000000000000000</formula2>
    </dataValidation>
  </dataValidations>
  <printOptions/>
  <pageMargins left="0.6299212598425197" right="0.2755905511811024" top="0.31496062992125984" bottom="0.2362204724409449" header="0.1968503937007874" footer="0.31496062992125984"/>
  <pageSetup fitToHeight="2" fitToWidth="1" horizontalDpi="600" verticalDpi="600" orientation="portrait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6">
    <pageSetUpPr fitToPage="1"/>
  </sheetPr>
  <dimension ref="A2:AE32"/>
  <sheetViews>
    <sheetView zoomScale="75" zoomScaleNormal="75" zoomScalePageLayoutView="0" workbookViewId="0" topLeftCell="A1">
      <selection activeCell="E20" sqref="E20"/>
    </sheetView>
  </sheetViews>
  <sheetFormatPr defaultColWidth="9.140625" defaultRowHeight="11.25"/>
  <cols>
    <col min="1" max="1" width="7.00390625" style="366" customWidth="1"/>
    <col min="2" max="2" width="33.57421875" style="366" customWidth="1"/>
    <col min="3" max="27" width="17.28125" style="366" customWidth="1"/>
    <col min="28" max="16384" width="9.140625" style="367" customWidth="1"/>
  </cols>
  <sheetData>
    <row r="2" spans="1:30" ht="12.75">
      <c r="A2" s="368"/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  <c r="W2" s="368"/>
      <c r="X2" s="368"/>
      <c r="Y2" s="368"/>
      <c r="Z2" s="368"/>
      <c r="AA2" s="368"/>
      <c r="AB2" s="372"/>
      <c r="AC2" s="369"/>
      <c r="AD2" s="369"/>
    </row>
    <row r="3" spans="1:30" ht="18" customHeight="1">
      <c r="A3" s="370"/>
      <c r="B3" s="379" t="s">
        <v>917</v>
      </c>
      <c r="C3" s="379"/>
      <c r="D3" s="371"/>
      <c r="E3" s="371"/>
      <c r="F3" s="371"/>
      <c r="G3" s="371"/>
      <c r="H3" s="371"/>
      <c r="I3" s="371"/>
      <c r="J3" s="371"/>
      <c r="K3" s="371"/>
      <c r="L3" s="378"/>
      <c r="M3" s="371"/>
      <c r="N3" s="371"/>
      <c r="O3" s="371"/>
      <c r="P3" s="371"/>
      <c r="Q3" s="371"/>
      <c r="R3" s="371"/>
      <c r="S3" s="371"/>
      <c r="T3" s="371"/>
      <c r="U3" s="371"/>
      <c r="V3" s="371"/>
      <c r="W3" s="371"/>
      <c r="X3" s="371"/>
      <c r="Y3" s="371"/>
      <c r="Z3" s="371"/>
      <c r="AA3" s="371"/>
      <c r="AB3" s="372"/>
      <c r="AC3" s="369"/>
      <c r="AD3" s="369"/>
    </row>
    <row r="4" spans="1:30" ht="18.75" thickBot="1">
      <c r="A4" s="373"/>
      <c r="B4" s="374"/>
      <c r="C4" s="374"/>
      <c r="D4" s="368"/>
      <c r="E4" s="368"/>
      <c r="F4" s="368"/>
      <c r="G4" s="368"/>
      <c r="H4" s="368"/>
      <c r="I4" s="368"/>
      <c r="J4" s="368"/>
      <c r="K4" s="368"/>
      <c r="L4" s="368"/>
      <c r="M4" s="368"/>
      <c r="N4" s="368"/>
      <c r="O4" s="368"/>
      <c r="P4" s="368"/>
      <c r="Q4" s="368"/>
      <c r="R4" s="368"/>
      <c r="S4" s="368"/>
      <c r="T4" s="368"/>
      <c r="U4" s="368"/>
      <c r="V4" s="368"/>
      <c r="W4" s="368"/>
      <c r="X4" s="368"/>
      <c r="Y4" s="368"/>
      <c r="Z4" s="368"/>
      <c r="AA4" s="368"/>
      <c r="AB4" s="372"/>
      <c r="AC4" s="369"/>
      <c r="AD4" s="369"/>
    </row>
    <row r="5" spans="1:31" ht="20.25" customHeight="1">
      <c r="A5" s="861" t="s">
        <v>912</v>
      </c>
      <c r="B5" s="864" t="s">
        <v>919</v>
      </c>
      <c r="C5" s="844" t="s">
        <v>918</v>
      </c>
      <c r="D5" s="845"/>
      <c r="E5" s="845"/>
      <c r="F5" s="845"/>
      <c r="G5" s="845"/>
      <c r="H5" s="845"/>
      <c r="I5" s="845"/>
      <c r="J5" s="845"/>
      <c r="K5" s="845"/>
      <c r="L5" s="845"/>
      <c r="M5" s="845"/>
      <c r="N5" s="845"/>
      <c r="O5" s="845"/>
      <c r="P5" s="845"/>
      <c r="Q5" s="845"/>
      <c r="R5" s="845"/>
      <c r="S5" s="845"/>
      <c r="T5" s="845"/>
      <c r="U5" s="845"/>
      <c r="V5" s="845"/>
      <c r="W5" s="845"/>
      <c r="X5" s="845"/>
      <c r="Y5" s="845"/>
      <c r="Z5" s="845"/>
      <c r="AA5" s="846"/>
      <c r="AB5" s="827" t="str">
        <f>"Темп роста к "&amp;2013&amp;", %"</f>
        <v>Темп роста к 2013, %</v>
      </c>
      <c r="AC5" s="827"/>
      <c r="AD5" s="827" t="str">
        <f>"Темп роста к "&amp;2014&amp;", %"</f>
        <v>Темп роста к 2014, %</v>
      </c>
      <c r="AE5" s="842"/>
    </row>
    <row r="6" spans="1:31" ht="25.5" customHeight="1">
      <c r="A6" s="862"/>
      <c r="B6" s="865"/>
      <c r="C6" s="847" t="s">
        <v>920</v>
      </c>
      <c r="D6" s="847"/>
      <c r="E6" s="847"/>
      <c r="F6" s="847"/>
      <c r="G6" s="847"/>
      <c r="H6" s="848" t="s">
        <v>913</v>
      </c>
      <c r="I6" s="849"/>
      <c r="J6" s="849"/>
      <c r="K6" s="849"/>
      <c r="L6" s="849"/>
      <c r="M6" s="849"/>
      <c r="N6" s="849"/>
      <c r="O6" s="849"/>
      <c r="P6" s="849"/>
      <c r="Q6" s="850"/>
      <c r="R6" s="851" t="s">
        <v>914</v>
      </c>
      <c r="S6" s="852"/>
      <c r="T6" s="852"/>
      <c r="U6" s="852"/>
      <c r="V6" s="853"/>
      <c r="W6" s="851" t="s">
        <v>915</v>
      </c>
      <c r="X6" s="852"/>
      <c r="Y6" s="852"/>
      <c r="Z6" s="852"/>
      <c r="AA6" s="853"/>
      <c r="AB6" s="828"/>
      <c r="AC6" s="828"/>
      <c r="AD6" s="828"/>
      <c r="AE6" s="843"/>
    </row>
    <row r="7" spans="1:31" ht="21.75" customHeight="1">
      <c r="A7" s="862"/>
      <c r="B7" s="865"/>
      <c r="C7" s="847"/>
      <c r="D7" s="847"/>
      <c r="E7" s="847"/>
      <c r="F7" s="847"/>
      <c r="G7" s="847"/>
      <c r="H7" s="857" t="s">
        <v>393</v>
      </c>
      <c r="I7" s="858"/>
      <c r="J7" s="858"/>
      <c r="K7" s="858"/>
      <c r="L7" s="859"/>
      <c r="M7" s="857" t="s">
        <v>916</v>
      </c>
      <c r="N7" s="858"/>
      <c r="O7" s="858"/>
      <c r="P7" s="858"/>
      <c r="Q7" s="859"/>
      <c r="R7" s="854"/>
      <c r="S7" s="855"/>
      <c r="T7" s="855"/>
      <c r="U7" s="855"/>
      <c r="V7" s="856"/>
      <c r="W7" s="854"/>
      <c r="X7" s="855"/>
      <c r="Y7" s="855"/>
      <c r="Z7" s="855"/>
      <c r="AA7" s="856"/>
      <c r="AB7" s="828"/>
      <c r="AC7" s="828"/>
      <c r="AD7" s="828"/>
      <c r="AE7" s="843"/>
    </row>
    <row r="8" spans="1:31" ht="21.75" customHeight="1">
      <c r="A8" s="862"/>
      <c r="B8" s="865"/>
      <c r="C8" s="847">
        <v>2013</v>
      </c>
      <c r="D8" s="847"/>
      <c r="E8" s="847">
        <v>2014</v>
      </c>
      <c r="F8" s="847"/>
      <c r="G8" s="847" t="s">
        <v>1332</v>
      </c>
      <c r="H8" s="847">
        <v>2013</v>
      </c>
      <c r="I8" s="847"/>
      <c r="J8" s="847">
        <v>2014</v>
      </c>
      <c r="K8" s="847"/>
      <c r="L8" s="847" t="s">
        <v>1332</v>
      </c>
      <c r="M8" s="847">
        <v>2013</v>
      </c>
      <c r="N8" s="847"/>
      <c r="O8" s="847">
        <v>2014</v>
      </c>
      <c r="P8" s="847"/>
      <c r="Q8" s="847" t="s">
        <v>1333</v>
      </c>
      <c r="R8" s="847">
        <v>2013</v>
      </c>
      <c r="S8" s="847"/>
      <c r="T8" s="847">
        <v>2014</v>
      </c>
      <c r="U8" s="847"/>
      <c r="V8" s="847" t="s">
        <v>1332</v>
      </c>
      <c r="W8" s="847">
        <v>2013</v>
      </c>
      <c r="X8" s="847"/>
      <c r="Y8" s="847">
        <v>2014</v>
      </c>
      <c r="Z8" s="847"/>
      <c r="AA8" s="847" t="s">
        <v>1332</v>
      </c>
      <c r="AB8" s="828" t="s">
        <v>148</v>
      </c>
      <c r="AC8" s="828" t="s">
        <v>149</v>
      </c>
      <c r="AD8" s="828" t="s">
        <v>148</v>
      </c>
      <c r="AE8" s="843" t="s">
        <v>149</v>
      </c>
    </row>
    <row r="9" spans="1:31" ht="34.5" thickBot="1">
      <c r="A9" s="863"/>
      <c r="B9" s="866"/>
      <c r="C9" s="380" t="s">
        <v>146</v>
      </c>
      <c r="D9" s="380" t="s">
        <v>147</v>
      </c>
      <c r="E9" s="380" t="s">
        <v>146</v>
      </c>
      <c r="F9" s="380" t="s">
        <v>452</v>
      </c>
      <c r="G9" s="860"/>
      <c r="H9" s="380" t="s">
        <v>146</v>
      </c>
      <c r="I9" s="380" t="s">
        <v>147</v>
      </c>
      <c r="J9" s="380" t="s">
        <v>146</v>
      </c>
      <c r="K9" s="380" t="s">
        <v>452</v>
      </c>
      <c r="L9" s="860"/>
      <c r="M9" s="380" t="s">
        <v>146</v>
      </c>
      <c r="N9" s="380" t="s">
        <v>147</v>
      </c>
      <c r="O9" s="380" t="s">
        <v>146</v>
      </c>
      <c r="P9" s="380" t="s">
        <v>452</v>
      </c>
      <c r="Q9" s="860"/>
      <c r="R9" s="380" t="s">
        <v>146</v>
      </c>
      <c r="S9" s="380" t="s">
        <v>147</v>
      </c>
      <c r="T9" s="380" t="s">
        <v>146</v>
      </c>
      <c r="U9" s="380" t="s">
        <v>452</v>
      </c>
      <c r="V9" s="860"/>
      <c r="W9" s="380" t="s">
        <v>358</v>
      </c>
      <c r="X9" s="380" t="s">
        <v>147</v>
      </c>
      <c r="Y9" s="380" t="s">
        <v>358</v>
      </c>
      <c r="Z9" s="380" t="s">
        <v>452</v>
      </c>
      <c r="AA9" s="860"/>
      <c r="AB9" s="874"/>
      <c r="AC9" s="874"/>
      <c r="AD9" s="874"/>
      <c r="AE9" s="873"/>
    </row>
    <row r="10" spans="1:31" s="384" customFormat="1" ht="12.75" hidden="1">
      <c r="A10" s="382"/>
      <c r="B10" s="382"/>
      <c r="C10" s="382" t="s">
        <v>82</v>
      </c>
      <c r="D10" s="382" t="s">
        <v>81</v>
      </c>
      <c r="E10" s="382" t="s">
        <v>82</v>
      </c>
      <c r="F10" s="382" t="s">
        <v>81</v>
      </c>
      <c r="G10" s="382" t="s">
        <v>82</v>
      </c>
      <c r="H10" s="382" t="s">
        <v>82</v>
      </c>
      <c r="I10" s="382" t="s">
        <v>81</v>
      </c>
      <c r="J10" s="382" t="s">
        <v>82</v>
      </c>
      <c r="K10" s="382" t="s">
        <v>81</v>
      </c>
      <c r="L10" s="382" t="s">
        <v>82</v>
      </c>
      <c r="M10" s="382" t="s">
        <v>82</v>
      </c>
      <c r="N10" s="382" t="s">
        <v>81</v>
      </c>
      <c r="O10" s="382" t="s">
        <v>82</v>
      </c>
      <c r="P10" s="382" t="s">
        <v>81</v>
      </c>
      <c r="Q10" s="382" t="s">
        <v>82</v>
      </c>
      <c r="R10" s="382" t="s">
        <v>82</v>
      </c>
      <c r="S10" s="382" t="s">
        <v>81</v>
      </c>
      <c r="T10" s="382" t="s">
        <v>82</v>
      </c>
      <c r="U10" s="382" t="s">
        <v>81</v>
      </c>
      <c r="V10" s="382" t="s">
        <v>82</v>
      </c>
      <c r="W10" s="382" t="s">
        <v>82</v>
      </c>
      <c r="X10" s="382" t="s">
        <v>81</v>
      </c>
      <c r="Y10" s="382" t="s">
        <v>82</v>
      </c>
      <c r="Z10" s="382" t="s">
        <v>81</v>
      </c>
      <c r="AA10" s="382" t="s">
        <v>82</v>
      </c>
      <c r="AB10" s="382"/>
      <c r="AC10" s="382"/>
      <c r="AD10" s="382"/>
      <c r="AE10" s="382"/>
    </row>
    <row r="11" spans="1:30" s="384" customFormat="1" ht="13.5" hidden="1" thickBot="1">
      <c r="A11" s="382"/>
      <c r="B11" s="382"/>
      <c r="C11" s="382">
        <v>2007</v>
      </c>
      <c r="D11" s="382">
        <v>2007</v>
      </c>
      <c r="E11" s="382">
        <v>2008</v>
      </c>
      <c r="F11" s="382">
        <v>2008</v>
      </c>
      <c r="G11" s="382">
        <v>2009</v>
      </c>
      <c r="H11" s="382">
        <v>2007</v>
      </c>
      <c r="I11" s="382">
        <v>2007</v>
      </c>
      <c r="J11" s="382">
        <v>2008</v>
      </c>
      <c r="K11" s="382">
        <v>2008</v>
      </c>
      <c r="L11" s="382">
        <v>2009</v>
      </c>
      <c r="M11" s="382">
        <v>2007</v>
      </c>
      <c r="N11" s="382">
        <v>2007</v>
      </c>
      <c r="O11" s="382">
        <v>2008</v>
      </c>
      <c r="P11" s="382">
        <v>2008</v>
      </c>
      <c r="Q11" s="382">
        <v>2009</v>
      </c>
      <c r="R11" s="382">
        <v>2007</v>
      </c>
      <c r="S11" s="382">
        <v>2007</v>
      </c>
      <c r="T11" s="382">
        <v>2008</v>
      </c>
      <c r="U11" s="382">
        <v>2008</v>
      </c>
      <c r="V11" s="382">
        <v>2009</v>
      </c>
      <c r="W11" s="382">
        <v>2007</v>
      </c>
      <c r="X11" s="382">
        <v>2007</v>
      </c>
      <c r="Y11" s="382">
        <v>2008</v>
      </c>
      <c r="Z11" s="382">
        <v>2008</v>
      </c>
      <c r="AA11" s="382">
        <v>2009</v>
      </c>
      <c r="AB11" s="383"/>
      <c r="AC11" s="383"/>
      <c r="AD11" s="383"/>
    </row>
    <row r="12" spans="1:31" ht="27" customHeight="1">
      <c r="A12" s="375"/>
      <c r="B12" s="376" t="s">
        <v>949</v>
      </c>
      <c r="C12" s="377">
        <f aca="true" t="shared" si="0" ref="C12:AA12">SUMIF($A12:$A18,"= 1.1",C12:C18)</f>
        <v>0</v>
      </c>
      <c r="D12" s="377">
        <f t="shared" si="0"/>
        <v>0</v>
      </c>
      <c r="E12" s="377">
        <f t="shared" si="0"/>
        <v>0</v>
      </c>
      <c r="F12" s="377">
        <f t="shared" si="0"/>
        <v>0</v>
      </c>
      <c r="G12" s="377">
        <f t="shared" si="0"/>
        <v>0</v>
      </c>
      <c r="H12" s="377">
        <f t="shared" si="0"/>
        <v>0</v>
      </c>
      <c r="I12" s="377">
        <f t="shared" si="0"/>
        <v>0</v>
      </c>
      <c r="J12" s="377">
        <f t="shared" si="0"/>
        <v>0</v>
      </c>
      <c r="K12" s="377">
        <f t="shared" si="0"/>
        <v>0</v>
      </c>
      <c r="L12" s="377">
        <f t="shared" si="0"/>
        <v>250</v>
      </c>
      <c r="M12" s="377">
        <f t="shared" si="0"/>
        <v>0</v>
      </c>
      <c r="N12" s="377">
        <f t="shared" si="0"/>
        <v>0</v>
      </c>
      <c r="O12" s="377">
        <f t="shared" si="0"/>
        <v>0</v>
      </c>
      <c r="P12" s="377">
        <f t="shared" si="0"/>
        <v>0</v>
      </c>
      <c r="Q12" s="377">
        <f t="shared" si="0"/>
        <v>4580</v>
      </c>
      <c r="R12" s="377">
        <f t="shared" si="0"/>
        <v>0</v>
      </c>
      <c r="S12" s="377">
        <f t="shared" si="0"/>
        <v>0</v>
      </c>
      <c r="T12" s="377">
        <f t="shared" si="0"/>
        <v>0</v>
      </c>
      <c r="U12" s="377">
        <f t="shared" si="0"/>
        <v>0</v>
      </c>
      <c r="V12" s="377">
        <f t="shared" si="0"/>
        <v>0</v>
      </c>
      <c r="W12" s="377">
        <f t="shared" si="0"/>
        <v>0</v>
      </c>
      <c r="X12" s="377">
        <f t="shared" si="0"/>
        <v>0</v>
      </c>
      <c r="Y12" s="377">
        <f t="shared" si="0"/>
        <v>0</v>
      </c>
      <c r="Z12" s="377">
        <f t="shared" si="0"/>
        <v>0</v>
      </c>
      <c r="AA12" s="377">
        <f t="shared" si="0"/>
        <v>0</v>
      </c>
      <c r="AB12" s="377">
        <f>IF(C12=0,0,(G12/C12*100))</f>
        <v>0</v>
      </c>
      <c r="AC12" s="377">
        <f>IF(D12=0,0,(G12/D12*100))</f>
        <v>0</v>
      </c>
      <c r="AD12" s="377">
        <f>IF(E12=0,0,(G12/E12*100))</f>
        <v>0</v>
      </c>
      <c r="AE12" s="377">
        <f>IF(F12=0,0,(G12/F12*100))</f>
        <v>0</v>
      </c>
    </row>
    <row r="13" spans="1:31" ht="22.5">
      <c r="A13" s="447" t="s">
        <v>946</v>
      </c>
      <c r="B13" s="439" t="s">
        <v>943</v>
      </c>
      <c r="C13" s="440">
        <f aca="true" t="shared" si="1" ref="C13:AA13">SUM(C14:C16)</f>
        <v>0</v>
      </c>
      <c r="D13" s="440">
        <f t="shared" si="1"/>
        <v>0</v>
      </c>
      <c r="E13" s="440">
        <f t="shared" si="1"/>
        <v>0</v>
      </c>
      <c r="F13" s="440">
        <f t="shared" si="1"/>
        <v>0</v>
      </c>
      <c r="G13" s="440">
        <f t="shared" si="1"/>
        <v>0</v>
      </c>
      <c r="H13" s="440">
        <f t="shared" si="1"/>
        <v>0</v>
      </c>
      <c r="I13" s="440">
        <f t="shared" si="1"/>
        <v>0</v>
      </c>
      <c r="J13" s="440">
        <f t="shared" si="1"/>
        <v>0</v>
      </c>
      <c r="K13" s="440">
        <f t="shared" si="1"/>
        <v>0</v>
      </c>
      <c r="L13" s="440">
        <f t="shared" si="1"/>
        <v>250</v>
      </c>
      <c r="M13" s="440">
        <f t="shared" si="1"/>
        <v>0</v>
      </c>
      <c r="N13" s="440">
        <f t="shared" si="1"/>
        <v>0</v>
      </c>
      <c r="O13" s="440">
        <f t="shared" si="1"/>
        <v>0</v>
      </c>
      <c r="P13" s="440">
        <f t="shared" si="1"/>
        <v>0</v>
      </c>
      <c r="Q13" s="440">
        <f t="shared" si="1"/>
        <v>4580</v>
      </c>
      <c r="R13" s="440">
        <f t="shared" si="1"/>
        <v>0</v>
      </c>
      <c r="S13" s="440">
        <f t="shared" si="1"/>
        <v>0</v>
      </c>
      <c r="T13" s="440">
        <f t="shared" si="1"/>
        <v>0</v>
      </c>
      <c r="U13" s="440">
        <f t="shared" si="1"/>
        <v>0</v>
      </c>
      <c r="V13" s="440">
        <f t="shared" si="1"/>
        <v>0</v>
      </c>
      <c r="W13" s="440">
        <f t="shared" si="1"/>
        <v>0</v>
      </c>
      <c r="X13" s="440">
        <f t="shared" si="1"/>
        <v>0</v>
      </c>
      <c r="Y13" s="440">
        <f t="shared" si="1"/>
        <v>0</v>
      </c>
      <c r="Z13" s="440">
        <f t="shared" si="1"/>
        <v>0</v>
      </c>
      <c r="AA13" s="440">
        <f t="shared" si="1"/>
        <v>0</v>
      </c>
      <c r="AB13" s="438">
        <f>IF(E13=0,0,(G13/E13*100))</f>
        <v>0</v>
      </c>
      <c r="AC13" s="438">
        <f>IF(F13=0,0,(H13/F13*100))</f>
        <v>0</v>
      </c>
      <c r="AD13" s="438">
        <f>IF(G13=0,0,(I13/G13*100))</f>
        <v>0</v>
      </c>
      <c r="AE13" s="438">
        <f>IF(H13=0,0,(J13/H13*100))</f>
        <v>0</v>
      </c>
    </row>
    <row r="14" spans="1:31" ht="23.25">
      <c r="A14" s="448" t="s">
        <v>947</v>
      </c>
      <c r="B14" s="437" t="s">
        <v>1339</v>
      </c>
      <c r="C14" s="442"/>
      <c r="D14" s="443"/>
      <c r="E14" s="443"/>
      <c r="F14" s="443"/>
      <c r="G14" s="443"/>
      <c r="H14" s="443"/>
      <c r="I14" s="443"/>
      <c r="J14" s="443"/>
      <c r="K14" s="443"/>
      <c r="L14" s="443">
        <v>130</v>
      </c>
      <c r="M14" s="443"/>
      <c r="N14" s="443"/>
      <c r="O14" s="443"/>
      <c r="P14" s="443"/>
      <c r="Q14" s="443">
        <v>1480</v>
      </c>
      <c r="R14" s="443"/>
      <c r="S14" s="443"/>
      <c r="T14" s="443"/>
      <c r="U14" s="443"/>
      <c r="V14" s="443"/>
      <c r="W14" s="443"/>
      <c r="X14" s="443"/>
      <c r="Y14" s="443"/>
      <c r="Z14" s="443"/>
      <c r="AA14" s="443"/>
      <c r="AB14" s="441">
        <f>IF(E14=0,0,(G14/E14*100))</f>
        <v>0</v>
      </c>
      <c r="AC14" s="441">
        <f>IF(F14=0,0,(G14/F14*100))</f>
        <v>0</v>
      </c>
      <c r="AD14" s="441">
        <f>IF(C14=0,0,(G14/C14*100))</f>
        <v>0</v>
      </c>
      <c r="AE14" s="441">
        <f>IF(D14=0,0,(G14/D14*100))</f>
        <v>0</v>
      </c>
    </row>
    <row r="15" spans="1:31" ht="13.5" thickBot="1">
      <c r="A15" s="447" t="s">
        <v>947</v>
      </c>
      <c r="B15" s="444" t="s">
        <v>1340</v>
      </c>
      <c r="C15" s="445"/>
      <c r="D15" s="446"/>
      <c r="E15" s="446"/>
      <c r="F15" s="446"/>
      <c r="G15" s="446"/>
      <c r="H15" s="446"/>
      <c r="I15" s="446"/>
      <c r="J15" s="446"/>
      <c r="K15" s="446"/>
      <c r="L15" s="446">
        <v>120</v>
      </c>
      <c r="M15" s="446"/>
      <c r="N15" s="446"/>
      <c r="O15" s="446"/>
      <c r="P15" s="446"/>
      <c r="Q15" s="446">
        <v>3100</v>
      </c>
      <c r="R15" s="446"/>
      <c r="S15" s="446"/>
      <c r="T15" s="446"/>
      <c r="U15" s="446"/>
      <c r="V15" s="446"/>
      <c r="W15" s="446"/>
      <c r="X15" s="446"/>
      <c r="Y15" s="446"/>
      <c r="Z15" s="446"/>
      <c r="AA15" s="446"/>
      <c r="AB15" s="438">
        <f>IF(E15=0,0,(G15/E15*100))</f>
        <v>0</v>
      </c>
      <c r="AC15" s="438">
        <f>IF(F15=0,0,(G15/F15*100))</f>
        <v>0</v>
      </c>
      <c r="AD15" s="438">
        <f>IF(C15=0,0,(G15/C15*100))</f>
        <v>0</v>
      </c>
      <c r="AE15" s="438">
        <f>IF(D15=0,0,(G15/D15*100))</f>
        <v>0</v>
      </c>
    </row>
    <row r="16" spans="1:31" ht="15.75" thickBot="1">
      <c r="A16" s="867" t="s">
        <v>944</v>
      </c>
      <c r="B16" s="868"/>
      <c r="C16" s="868"/>
      <c r="D16" s="868"/>
      <c r="E16" s="868"/>
      <c r="F16" s="868"/>
      <c r="G16" s="868"/>
      <c r="H16" s="868"/>
      <c r="I16" s="868"/>
      <c r="J16" s="868"/>
      <c r="K16" s="868"/>
      <c r="L16" s="868"/>
      <c r="M16" s="868"/>
      <c r="N16" s="868"/>
      <c r="O16" s="868"/>
      <c r="P16" s="868"/>
      <c r="Q16" s="868"/>
      <c r="R16" s="868"/>
      <c r="S16" s="868"/>
      <c r="T16" s="868"/>
      <c r="U16" s="868"/>
      <c r="V16" s="868"/>
      <c r="W16" s="868"/>
      <c r="X16" s="868"/>
      <c r="Y16" s="868"/>
      <c r="Z16" s="868"/>
      <c r="AA16" s="868"/>
      <c r="AB16" s="868"/>
      <c r="AC16" s="868"/>
      <c r="AD16" s="868"/>
      <c r="AE16" s="869"/>
    </row>
    <row r="17" spans="1:31" ht="15.75" thickBot="1">
      <c r="A17" s="870" t="s">
        <v>945</v>
      </c>
      <c r="B17" s="871"/>
      <c r="C17" s="872"/>
      <c r="D17" s="872"/>
      <c r="E17" s="872"/>
      <c r="F17" s="872"/>
      <c r="G17" s="872"/>
      <c r="H17" s="872"/>
      <c r="I17" s="872"/>
      <c r="J17" s="872"/>
      <c r="K17" s="872"/>
      <c r="L17" s="872"/>
      <c r="M17" s="872"/>
      <c r="N17" s="872"/>
      <c r="O17" s="872"/>
      <c r="P17" s="872"/>
      <c r="Q17" s="872"/>
      <c r="R17" s="872"/>
      <c r="S17" s="872"/>
      <c r="T17" s="872"/>
      <c r="U17" s="872"/>
      <c r="V17" s="872"/>
      <c r="W17" s="872"/>
      <c r="X17" s="872"/>
      <c r="Y17" s="872"/>
      <c r="Z17" s="872"/>
      <c r="AA17" s="872"/>
      <c r="AB17" s="872"/>
      <c r="AC17" s="872"/>
      <c r="AD17" s="872"/>
      <c r="AE17" s="872"/>
    </row>
    <row r="18" spans="1:27" ht="12.75">
      <c r="A18" s="368"/>
      <c r="B18" s="368"/>
      <c r="C18" s="368"/>
      <c r="D18" s="368"/>
      <c r="E18" s="368"/>
      <c r="F18" s="368"/>
      <c r="G18" s="368"/>
      <c r="H18" s="368"/>
      <c r="I18" s="368"/>
      <c r="J18" s="368"/>
      <c r="K18" s="368"/>
      <c r="L18" s="368"/>
      <c r="M18" s="368"/>
      <c r="N18" s="368"/>
      <c r="O18" s="368"/>
      <c r="P18" s="368"/>
      <c r="Q18" s="368"/>
      <c r="R18" s="368"/>
      <c r="S18" s="368"/>
      <c r="T18" s="368"/>
      <c r="U18" s="368"/>
      <c r="V18" s="368"/>
      <c r="W18" s="368"/>
      <c r="X18" s="368"/>
      <c r="Y18" s="368"/>
      <c r="Z18" s="368"/>
      <c r="AA18" s="368"/>
    </row>
    <row r="19" spans="1:27" ht="12.75">
      <c r="A19" s="368"/>
      <c r="B19" s="368"/>
      <c r="C19" s="368"/>
      <c r="D19" s="368"/>
      <c r="E19" s="368"/>
      <c r="F19" s="368"/>
      <c r="G19" s="368"/>
      <c r="H19" s="368"/>
      <c r="I19" s="368"/>
      <c r="J19" s="368"/>
      <c r="K19" s="368"/>
      <c r="L19" s="368"/>
      <c r="M19" s="368"/>
      <c r="N19" s="368"/>
      <c r="O19" s="368"/>
      <c r="P19" s="368"/>
      <c r="Q19" s="368"/>
      <c r="R19" s="368"/>
      <c r="S19" s="368"/>
      <c r="T19" s="368"/>
      <c r="U19" s="368"/>
      <c r="V19" s="368"/>
      <c r="W19" s="368"/>
      <c r="X19" s="368"/>
      <c r="Y19" s="368"/>
      <c r="Z19" s="368"/>
      <c r="AA19" s="368"/>
    </row>
    <row r="20" spans="1:27" ht="15">
      <c r="A20" s="368"/>
      <c r="B20" s="576" t="s">
        <v>1291</v>
      </c>
      <c r="C20" s="608"/>
      <c r="D20" s="607"/>
      <c r="E20" s="608" t="s">
        <v>1289</v>
      </c>
      <c r="F20" s="368"/>
      <c r="G20" s="368"/>
      <c r="H20" s="368"/>
      <c r="I20" s="368"/>
      <c r="J20" s="368"/>
      <c r="K20" s="368"/>
      <c r="L20" s="368"/>
      <c r="M20" s="368"/>
      <c r="N20" s="368"/>
      <c r="O20" s="368"/>
      <c r="P20" s="368"/>
      <c r="Q20" s="368"/>
      <c r="R20" s="368"/>
      <c r="S20" s="368"/>
      <c r="T20" s="368"/>
      <c r="U20" s="368"/>
      <c r="V20" s="368"/>
      <c r="W20" s="368"/>
      <c r="X20" s="368"/>
      <c r="Y20" s="368"/>
      <c r="Z20" s="368"/>
      <c r="AA20" s="368"/>
    </row>
    <row r="21" spans="1:27" ht="15">
      <c r="A21" s="368"/>
      <c r="B21" s="576"/>
      <c r="C21" s="576"/>
      <c r="D21" s="576" t="s">
        <v>1288</v>
      </c>
      <c r="E21" s="576"/>
      <c r="F21" s="368"/>
      <c r="G21" s="368"/>
      <c r="H21" s="368"/>
      <c r="I21" s="368"/>
      <c r="J21" s="368"/>
      <c r="K21" s="368"/>
      <c r="L21" s="368"/>
      <c r="M21" s="368"/>
      <c r="N21" s="368"/>
      <c r="O21" s="368"/>
      <c r="P21" s="368"/>
      <c r="Q21" s="368"/>
      <c r="R21" s="368"/>
      <c r="S21" s="368"/>
      <c r="T21" s="368"/>
      <c r="U21" s="368"/>
      <c r="V21" s="368"/>
      <c r="W21" s="368"/>
      <c r="X21" s="368"/>
      <c r="Y21" s="368"/>
      <c r="Z21" s="368"/>
      <c r="AA21" s="367"/>
    </row>
    <row r="22" spans="1:27" ht="15">
      <c r="A22" s="368"/>
      <c r="B22" s="576" t="s">
        <v>1290</v>
      </c>
      <c r="C22" s="576"/>
      <c r="D22" s="576"/>
      <c r="E22" s="576"/>
      <c r="F22" s="368"/>
      <c r="G22" s="368"/>
      <c r="H22" s="368"/>
      <c r="I22" s="368"/>
      <c r="J22" s="368"/>
      <c r="K22" s="368"/>
      <c r="L22" s="368"/>
      <c r="M22" s="368"/>
      <c r="N22" s="368"/>
      <c r="O22" s="368"/>
      <c r="P22" s="368"/>
      <c r="Q22" s="368"/>
      <c r="R22" s="368"/>
      <c r="S22" s="368"/>
      <c r="T22" s="368"/>
      <c r="U22" s="368"/>
      <c r="V22" s="368"/>
      <c r="W22" s="368"/>
      <c r="X22" s="368"/>
      <c r="Y22" s="368"/>
      <c r="Z22" s="368"/>
      <c r="AA22" s="368"/>
    </row>
    <row r="23" spans="1:27" ht="12.75">
      <c r="A23" s="368"/>
      <c r="B23" s="368"/>
      <c r="C23" s="368"/>
      <c r="D23" s="368"/>
      <c r="E23" s="368"/>
      <c r="F23" s="368"/>
      <c r="G23" s="368"/>
      <c r="H23" s="368"/>
      <c r="I23" s="368"/>
      <c r="J23" s="368"/>
      <c r="K23" s="368"/>
      <c r="L23" s="368"/>
      <c r="M23" s="368"/>
      <c r="N23" s="368"/>
      <c r="O23" s="368"/>
      <c r="P23" s="368"/>
      <c r="Q23" s="368"/>
      <c r="R23" s="368"/>
      <c r="S23" s="368"/>
      <c r="T23" s="368"/>
      <c r="U23" s="368"/>
      <c r="V23" s="368"/>
      <c r="W23" s="368"/>
      <c r="X23" s="368"/>
      <c r="Y23" s="368"/>
      <c r="Z23" s="368"/>
      <c r="AA23" s="368"/>
    </row>
    <row r="24" spans="1:27" ht="12.75">
      <c r="A24" s="368"/>
      <c r="B24" s="368"/>
      <c r="C24" s="368"/>
      <c r="D24" s="368"/>
      <c r="E24" s="368"/>
      <c r="F24" s="368"/>
      <c r="G24" s="368"/>
      <c r="H24" s="368"/>
      <c r="I24" s="368"/>
      <c r="J24" s="368"/>
      <c r="K24" s="368"/>
      <c r="L24" s="368"/>
      <c r="M24" s="368"/>
      <c r="N24" s="368"/>
      <c r="O24" s="368"/>
      <c r="P24" s="368"/>
      <c r="Q24" s="368"/>
      <c r="R24" s="368"/>
      <c r="S24" s="368"/>
      <c r="T24" s="368"/>
      <c r="U24" s="368"/>
      <c r="V24" s="368"/>
      <c r="W24" s="368"/>
      <c r="X24" s="368"/>
      <c r="Y24" s="368"/>
      <c r="Z24" s="368"/>
      <c r="AA24" s="368"/>
    </row>
    <row r="25" spans="1:27" ht="12.75">
      <c r="A25" s="368"/>
      <c r="B25" s="368"/>
      <c r="C25" s="368"/>
      <c r="D25" s="368"/>
      <c r="E25" s="368"/>
      <c r="F25" s="368"/>
      <c r="G25" s="368"/>
      <c r="H25" s="368"/>
      <c r="I25" s="368"/>
      <c r="J25" s="368"/>
      <c r="K25" s="368"/>
      <c r="L25" s="368"/>
      <c r="M25" s="368"/>
      <c r="N25" s="368"/>
      <c r="O25" s="368"/>
      <c r="P25" s="368"/>
      <c r="Q25" s="368"/>
      <c r="R25" s="368"/>
      <c r="S25" s="368"/>
      <c r="T25" s="368"/>
      <c r="U25" s="368"/>
      <c r="V25" s="368"/>
      <c r="W25" s="368"/>
      <c r="X25" s="368"/>
      <c r="Y25" s="368"/>
      <c r="Z25" s="368"/>
      <c r="AA25" s="368"/>
    </row>
    <row r="26" spans="1:27" ht="12.75">
      <c r="A26" s="368"/>
      <c r="B26" s="368"/>
      <c r="C26" s="368"/>
      <c r="D26" s="368"/>
      <c r="E26" s="368"/>
      <c r="F26" s="368"/>
      <c r="G26" s="368"/>
      <c r="H26" s="368"/>
      <c r="I26" s="368"/>
      <c r="J26" s="368"/>
      <c r="K26" s="368"/>
      <c r="L26" s="368"/>
      <c r="M26" s="368"/>
      <c r="N26" s="368"/>
      <c r="O26" s="368"/>
      <c r="P26" s="368"/>
      <c r="Q26" s="368"/>
      <c r="R26" s="368"/>
      <c r="S26" s="368"/>
      <c r="T26" s="368"/>
      <c r="U26" s="368"/>
      <c r="V26" s="368"/>
      <c r="W26" s="368"/>
      <c r="X26" s="368"/>
      <c r="Y26" s="368"/>
      <c r="Z26" s="368"/>
      <c r="AA26" s="368"/>
    </row>
    <row r="27" spans="1:27" ht="12.75">
      <c r="A27" s="368"/>
      <c r="B27" s="368"/>
      <c r="C27" s="368"/>
      <c r="D27" s="368"/>
      <c r="E27" s="368"/>
      <c r="F27" s="368"/>
      <c r="G27" s="368"/>
      <c r="H27" s="368"/>
      <c r="I27" s="368"/>
      <c r="J27" s="368"/>
      <c r="K27" s="368"/>
      <c r="L27" s="368"/>
      <c r="M27" s="368"/>
      <c r="N27" s="368"/>
      <c r="O27" s="368"/>
      <c r="P27" s="368"/>
      <c r="Q27" s="368"/>
      <c r="R27" s="368"/>
      <c r="S27" s="368"/>
      <c r="T27" s="368"/>
      <c r="U27" s="368"/>
      <c r="V27" s="368"/>
      <c r="W27" s="368"/>
      <c r="X27" s="368"/>
      <c r="Y27" s="368"/>
      <c r="Z27" s="368"/>
      <c r="AA27" s="368"/>
    </row>
    <row r="28" spans="1:27" ht="12.75">
      <c r="A28" s="368"/>
      <c r="B28" s="368"/>
      <c r="C28" s="368"/>
      <c r="D28" s="368"/>
      <c r="E28" s="368"/>
      <c r="F28" s="368"/>
      <c r="G28" s="368"/>
      <c r="H28" s="368"/>
      <c r="I28" s="368"/>
      <c r="J28" s="368"/>
      <c r="K28" s="368"/>
      <c r="L28" s="368"/>
      <c r="M28" s="368"/>
      <c r="N28" s="368"/>
      <c r="O28" s="368"/>
      <c r="P28" s="368"/>
      <c r="Q28" s="368"/>
      <c r="R28" s="368"/>
      <c r="S28" s="368"/>
      <c r="T28" s="368"/>
      <c r="U28" s="368"/>
      <c r="V28" s="368"/>
      <c r="W28" s="368"/>
      <c r="X28" s="368"/>
      <c r="Y28" s="368"/>
      <c r="Z28" s="368"/>
      <c r="AA28" s="368"/>
    </row>
    <row r="29" spans="1:27" ht="12.75">
      <c r="A29" s="368"/>
      <c r="B29" s="368"/>
      <c r="C29" s="368"/>
      <c r="D29" s="368"/>
      <c r="E29" s="368"/>
      <c r="F29" s="368"/>
      <c r="G29" s="368"/>
      <c r="H29" s="368"/>
      <c r="I29" s="368"/>
      <c r="J29" s="368"/>
      <c r="K29" s="368"/>
      <c r="L29" s="368"/>
      <c r="M29" s="368"/>
      <c r="N29" s="368"/>
      <c r="O29" s="368"/>
      <c r="P29" s="368"/>
      <c r="Q29" s="368"/>
      <c r="R29" s="368"/>
      <c r="S29" s="368"/>
      <c r="T29" s="368"/>
      <c r="U29" s="368"/>
      <c r="V29" s="368"/>
      <c r="W29" s="368"/>
      <c r="X29" s="368"/>
      <c r="Y29" s="368"/>
      <c r="Z29" s="368"/>
      <c r="AA29" s="368"/>
    </row>
    <row r="30" spans="1:27" ht="12.75">
      <c r="A30" s="368"/>
      <c r="B30" s="368"/>
      <c r="C30" s="368"/>
      <c r="D30" s="368"/>
      <c r="E30" s="368"/>
      <c r="F30" s="368"/>
      <c r="G30" s="368"/>
      <c r="H30" s="368"/>
      <c r="I30" s="368"/>
      <c r="J30" s="368"/>
      <c r="K30" s="368"/>
      <c r="L30" s="368"/>
      <c r="M30" s="368"/>
      <c r="N30" s="368"/>
      <c r="O30" s="368"/>
      <c r="P30" s="368"/>
      <c r="Q30" s="368"/>
      <c r="R30" s="368"/>
      <c r="S30" s="368"/>
      <c r="T30" s="368"/>
      <c r="U30" s="368"/>
      <c r="V30" s="368"/>
      <c r="W30" s="368"/>
      <c r="X30" s="368"/>
      <c r="Y30" s="368"/>
      <c r="Z30" s="368"/>
      <c r="AA30" s="368"/>
    </row>
    <row r="31" spans="1:27" ht="12.75">
      <c r="A31" s="368"/>
      <c r="B31" s="368"/>
      <c r="C31" s="368"/>
      <c r="D31" s="368"/>
      <c r="E31" s="368"/>
      <c r="F31" s="368"/>
      <c r="G31" s="368"/>
      <c r="H31" s="368"/>
      <c r="I31" s="368"/>
      <c r="J31" s="368"/>
      <c r="K31" s="368"/>
      <c r="L31" s="368"/>
      <c r="M31" s="368"/>
      <c r="N31" s="368"/>
      <c r="O31" s="368"/>
      <c r="P31" s="368"/>
      <c r="Q31" s="368"/>
      <c r="R31" s="368"/>
      <c r="S31" s="368"/>
      <c r="T31" s="368"/>
      <c r="U31" s="368"/>
      <c r="V31" s="368"/>
      <c r="W31" s="368"/>
      <c r="X31" s="368"/>
      <c r="Y31" s="368"/>
      <c r="Z31" s="368"/>
      <c r="AA31" s="368"/>
    </row>
    <row r="32" spans="1:27" ht="12.75">
      <c r="A32" s="368"/>
      <c r="B32" s="368"/>
      <c r="C32" s="368"/>
      <c r="D32" s="368"/>
      <c r="E32" s="368"/>
      <c r="F32" s="368"/>
      <c r="G32" s="368"/>
      <c r="H32" s="368"/>
      <c r="I32" s="368"/>
      <c r="J32" s="368"/>
      <c r="K32" s="368"/>
      <c r="L32" s="368"/>
      <c r="M32" s="368"/>
      <c r="N32" s="368"/>
      <c r="O32" s="368"/>
      <c r="P32" s="368"/>
      <c r="Q32" s="368"/>
      <c r="R32" s="368"/>
      <c r="S32" s="368"/>
      <c r="T32" s="368"/>
      <c r="U32" s="368"/>
      <c r="V32" s="368"/>
      <c r="W32" s="368"/>
      <c r="X32" s="368"/>
      <c r="Y32" s="368"/>
      <c r="Z32" s="368"/>
      <c r="AA32" s="368"/>
    </row>
  </sheetData>
  <sheetProtection password="FA9C" sheet="1" objects="1" scenarios="1" formatColumns="0" formatRows="0"/>
  <mergeCells count="32">
    <mergeCell ref="A16:AE16"/>
    <mergeCell ref="W8:X8"/>
    <mergeCell ref="Y8:Z8"/>
    <mergeCell ref="AA8:AA9"/>
    <mergeCell ref="A17:AE17"/>
    <mergeCell ref="AE8:AE9"/>
    <mergeCell ref="AD8:AD9"/>
    <mergeCell ref="AC8:AC9"/>
    <mergeCell ref="AB8:AB9"/>
    <mergeCell ref="Q8:Q9"/>
    <mergeCell ref="R8:S8"/>
    <mergeCell ref="T8:U8"/>
    <mergeCell ref="V8:V9"/>
    <mergeCell ref="J8:K8"/>
    <mergeCell ref="L8:L9"/>
    <mergeCell ref="M8:N8"/>
    <mergeCell ref="O8:P8"/>
    <mergeCell ref="C8:D8"/>
    <mergeCell ref="E8:F8"/>
    <mergeCell ref="G8:G9"/>
    <mergeCell ref="H8:I8"/>
    <mergeCell ref="A5:A9"/>
    <mergeCell ref="B5:B9"/>
    <mergeCell ref="AD5:AE7"/>
    <mergeCell ref="AB5:AC7"/>
    <mergeCell ref="C5:AA5"/>
    <mergeCell ref="C6:G7"/>
    <mergeCell ref="H6:Q6"/>
    <mergeCell ref="R6:V7"/>
    <mergeCell ref="W6:AA7"/>
    <mergeCell ref="H7:L7"/>
    <mergeCell ref="M7:Q7"/>
  </mergeCells>
  <dataValidations count="1">
    <dataValidation type="decimal" allowBlank="1" showInputMessage="1" showErrorMessage="1" sqref="C14:AA15">
      <formula1>-10000000000000000</formula1>
      <formula2>10000000000000000</formula2>
    </dataValidation>
  </dataValidations>
  <hyperlinks>
    <hyperlink ref="A17:AE17" location="Инвестиции!A1" display="Инвестиции!A1"/>
    <hyperlink ref="A16:AE16" location="TEHSHEET!A1" display="Добавить работы по проекту"/>
  </hyperlinks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5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R64"/>
  <sheetViews>
    <sheetView zoomScale="75" zoomScaleNormal="75" zoomScalePageLayoutView="0" workbookViewId="0" topLeftCell="A2">
      <pane xSplit="4" ySplit="6" topLeftCell="E20" activePane="bottomRight" state="frozen"/>
      <selection pane="topLeft" activeCell="A2" sqref="A2"/>
      <selection pane="topRight" activeCell="E2" sqref="E2"/>
      <selection pane="bottomLeft" activeCell="A8" sqref="A8"/>
      <selection pane="bottomRight" activeCell="W62" sqref="W62"/>
    </sheetView>
  </sheetViews>
  <sheetFormatPr defaultColWidth="9.140625" defaultRowHeight="11.25"/>
  <cols>
    <col min="1" max="1" width="5.7109375" style="0" customWidth="1"/>
    <col min="2" max="2" width="36.7109375" style="0" customWidth="1"/>
    <col min="3" max="3" width="13.57421875" style="14" hidden="1" customWidth="1"/>
    <col min="4" max="4" width="9.7109375" style="0" customWidth="1"/>
    <col min="5" max="5" width="14.57421875" style="0" customWidth="1"/>
    <col min="6" max="6" width="12.7109375" style="0" customWidth="1"/>
    <col min="7" max="7" width="0.2890625" style="0" hidden="1" customWidth="1"/>
    <col min="8" max="8" width="14.8515625" style="0" customWidth="1"/>
    <col min="9" max="9" width="13.7109375" style="0" customWidth="1"/>
    <col min="10" max="10" width="0.2890625" style="0" hidden="1" customWidth="1"/>
    <col min="11" max="11" width="12.57421875" style="0" customWidth="1"/>
    <col min="12" max="12" width="0.13671875" style="0" customWidth="1"/>
    <col min="13" max="13" width="13.00390625" style="0" customWidth="1"/>
    <col min="14" max="14" width="0.2890625" style="0" hidden="1" customWidth="1"/>
    <col min="15" max="18" width="9.7109375" style="0" hidden="1" customWidth="1"/>
  </cols>
  <sheetData>
    <row r="1" spans="1:18" ht="12.75" hidden="1">
      <c r="A1" s="34" t="str">
        <f>Справочники!E13</f>
        <v>Мурманская область</v>
      </c>
      <c r="B1" s="241" t="str">
        <f>Справочники!D21</f>
        <v>МУП "Кировская горэлектросеть"</v>
      </c>
      <c r="R1" s="2" t="s">
        <v>300</v>
      </c>
    </row>
    <row r="2" spans="1:18" ht="39.75" customHeight="1" thickBot="1">
      <c r="A2" s="132" t="s">
        <v>301</v>
      </c>
      <c r="B2" s="133"/>
      <c r="C2" s="224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3"/>
    </row>
    <row r="3" spans="1:18" ht="21.75" customHeight="1">
      <c r="A3" s="771" t="s">
        <v>86</v>
      </c>
      <c r="B3" s="773" t="s">
        <v>25</v>
      </c>
      <c r="C3" s="225"/>
      <c r="D3" s="773" t="s">
        <v>145</v>
      </c>
      <c r="E3" s="821">
        <v>2013</v>
      </c>
      <c r="F3" s="821"/>
      <c r="G3" s="821"/>
      <c r="H3" s="821">
        <v>2014</v>
      </c>
      <c r="I3" s="821"/>
      <c r="J3" s="821"/>
      <c r="K3" s="829" t="s">
        <v>1330</v>
      </c>
      <c r="L3" s="830"/>
      <c r="M3" s="829" t="s">
        <v>1331</v>
      </c>
      <c r="N3" s="830"/>
      <c r="O3" s="821" t="str">
        <f>"Темп роста к "&amp;2010&amp;", %"</f>
        <v>Темп роста к 2010, %</v>
      </c>
      <c r="P3" s="821"/>
      <c r="Q3" s="821" t="str">
        <f>"Темп роста к "&amp;2009&amp;", %"</f>
        <v>Темп роста к 2009, %</v>
      </c>
      <c r="R3" s="823"/>
    </row>
    <row r="4" spans="1:18" ht="12.75" customHeight="1">
      <c r="A4" s="772"/>
      <c r="B4" s="774"/>
      <c r="C4" s="226"/>
      <c r="D4" s="774"/>
      <c r="E4" s="822"/>
      <c r="F4" s="822"/>
      <c r="G4" s="822"/>
      <c r="H4" s="822"/>
      <c r="I4" s="822"/>
      <c r="J4" s="822"/>
      <c r="K4" s="831"/>
      <c r="L4" s="832"/>
      <c r="M4" s="831"/>
      <c r="N4" s="832"/>
      <c r="O4" s="822"/>
      <c r="P4" s="822"/>
      <c r="Q4" s="822"/>
      <c r="R4" s="824"/>
    </row>
    <row r="5" spans="1:18" ht="63.75" customHeight="1">
      <c r="A5" s="772"/>
      <c r="B5" s="774"/>
      <c r="C5" s="226"/>
      <c r="D5" s="774"/>
      <c r="E5" s="79" t="s">
        <v>1300</v>
      </c>
      <c r="F5" s="79" t="s">
        <v>1218</v>
      </c>
      <c r="G5" s="79" t="s">
        <v>1219</v>
      </c>
      <c r="H5" s="79" t="s">
        <v>1300</v>
      </c>
      <c r="I5" s="79" t="s">
        <v>1220</v>
      </c>
      <c r="J5" s="79" t="s">
        <v>1224</v>
      </c>
      <c r="K5" s="238" t="s">
        <v>1222</v>
      </c>
      <c r="L5" s="238" t="s">
        <v>1225</v>
      </c>
      <c r="M5" s="238" t="s">
        <v>1222</v>
      </c>
      <c r="N5" s="238" t="s">
        <v>1225</v>
      </c>
      <c r="O5" s="4" t="s">
        <v>148</v>
      </c>
      <c r="P5" s="4" t="s">
        <v>149</v>
      </c>
      <c r="Q5" s="4" t="s">
        <v>148</v>
      </c>
      <c r="R5" s="8" t="s">
        <v>149</v>
      </c>
    </row>
    <row r="6" spans="1:18" ht="18.75" customHeight="1" hidden="1">
      <c r="A6" s="9"/>
      <c r="B6" s="4"/>
      <c r="C6" s="226"/>
      <c r="D6" s="4"/>
      <c r="E6" s="79" t="s">
        <v>82</v>
      </c>
      <c r="F6" s="79"/>
      <c r="G6" s="79" t="s">
        <v>81</v>
      </c>
      <c r="H6" s="79" t="s">
        <v>82</v>
      </c>
      <c r="I6" s="79"/>
      <c r="J6" s="79" t="s">
        <v>81</v>
      </c>
      <c r="K6" s="79" t="s">
        <v>82</v>
      </c>
      <c r="L6" s="79"/>
      <c r="M6" s="79"/>
      <c r="N6" s="79"/>
      <c r="O6" s="79" t="s">
        <v>811</v>
      </c>
      <c r="P6" s="79" t="s">
        <v>812</v>
      </c>
      <c r="Q6" s="79" t="s">
        <v>811</v>
      </c>
      <c r="R6" s="80" t="s">
        <v>812</v>
      </c>
    </row>
    <row r="7" spans="1:18" ht="18.75" customHeight="1" hidden="1">
      <c r="A7" s="9"/>
      <c r="B7" s="4"/>
      <c r="C7" s="226"/>
      <c r="D7" s="4"/>
      <c r="E7" s="79">
        <v>2006</v>
      </c>
      <c r="F7" s="79"/>
      <c r="G7" s="79">
        <v>2006</v>
      </c>
      <c r="H7" s="79">
        <v>2007</v>
      </c>
      <c r="I7" s="79"/>
      <c r="J7" s="79">
        <v>2007</v>
      </c>
      <c r="K7" s="238">
        <v>2008</v>
      </c>
      <c r="L7" s="238"/>
      <c r="M7" s="238"/>
      <c r="N7" s="238"/>
      <c r="O7" s="4">
        <v>2007</v>
      </c>
      <c r="P7" s="4">
        <v>2007</v>
      </c>
      <c r="Q7" s="4">
        <v>2006</v>
      </c>
      <c r="R7" s="8">
        <v>2006</v>
      </c>
    </row>
    <row r="8" spans="1:18" ht="11.25">
      <c r="A8" s="5" t="s">
        <v>36</v>
      </c>
      <c r="B8" s="39" t="s">
        <v>302</v>
      </c>
      <c r="C8" s="219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8"/>
    </row>
    <row r="9" spans="1:18" ht="11.25">
      <c r="A9" s="5" t="s">
        <v>90</v>
      </c>
      <c r="B9" s="39" t="s">
        <v>303</v>
      </c>
      <c r="C9" s="219" t="s">
        <v>41</v>
      </c>
      <c r="D9" s="57" t="s">
        <v>304</v>
      </c>
      <c r="E9" s="390"/>
      <c r="F9" s="390"/>
      <c r="G9" s="390"/>
      <c r="H9" s="390"/>
      <c r="I9" s="390"/>
      <c r="J9" s="390"/>
      <c r="K9" s="390"/>
      <c r="L9" s="390"/>
      <c r="M9" s="390"/>
      <c r="N9" s="390"/>
      <c r="O9" s="137">
        <f aca="true" t="shared" si="0" ref="O9:O16">IF(H9=0,0,(K9/H9*100))</f>
        <v>0</v>
      </c>
      <c r="P9" s="137">
        <f aca="true" t="shared" si="1" ref="P9:P16">IF(J9=0,0,(K9/J9*100))</f>
        <v>0</v>
      </c>
      <c r="Q9" s="137">
        <f aca="true" t="shared" si="2" ref="Q9:Q16">IF(E9=0,0,(K9/E9*100))</f>
        <v>0</v>
      </c>
      <c r="R9" s="138">
        <f aca="true" t="shared" si="3" ref="R9:R16">IF(G9=0,0,(K9/G9*100))</f>
        <v>0</v>
      </c>
    </row>
    <row r="10" spans="1:18" ht="11.25">
      <c r="A10" s="5"/>
      <c r="B10" s="39" t="s">
        <v>305</v>
      </c>
      <c r="C10" s="219" t="s">
        <v>140</v>
      </c>
      <c r="D10" s="57" t="s">
        <v>304</v>
      </c>
      <c r="E10" s="390"/>
      <c r="F10" s="390"/>
      <c r="G10" s="390"/>
      <c r="H10" s="390"/>
      <c r="I10" s="390"/>
      <c r="J10" s="390"/>
      <c r="K10" s="390"/>
      <c r="L10" s="390"/>
      <c r="M10" s="390"/>
      <c r="N10" s="390"/>
      <c r="O10" s="137">
        <f t="shared" si="0"/>
        <v>0</v>
      </c>
      <c r="P10" s="137">
        <f t="shared" si="1"/>
        <v>0</v>
      </c>
      <c r="Q10" s="137">
        <f t="shared" si="2"/>
        <v>0</v>
      </c>
      <c r="R10" s="138">
        <f t="shared" si="3"/>
        <v>0</v>
      </c>
    </row>
    <row r="11" spans="1:18" ht="11.25">
      <c r="A11" s="5" t="s">
        <v>94</v>
      </c>
      <c r="B11" s="39" t="s">
        <v>306</v>
      </c>
      <c r="C11" s="219" t="s">
        <v>44</v>
      </c>
      <c r="D11" s="57" t="s">
        <v>304</v>
      </c>
      <c r="E11" s="390"/>
      <c r="F11" s="390"/>
      <c r="G11" s="390"/>
      <c r="H11" s="390"/>
      <c r="I11" s="390"/>
      <c r="J11" s="390"/>
      <c r="K11" s="390"/>
      <c r="L11" s="390"/>
      <c r="M11" s="390"/>
      <c r="N11" s="390"/>
      <c r="O11" s="137">
        <f t="shared" si="0"/>
        <v>0</v>
      </c>
      <c r="P11" s="137">
        <f t="shared" si="1"/>
        <v>0</v>
      </c>
      <c r="Q11" s="137">
        <f t="shared" si="2"/>
        <v>0</v>
      </c>
      <c r="R11" s="138">
        <f t="shared" si="3"/>
        <v>0</v>
      </c>
    </row>
    <row r="12" spans="1:18" ht="11.25">
      <c r="A12" s="5"/>
      <c r="B12" s="39" t="s">
        <v>307</v>
      </c>
      <c r="C12" s="219" t="s">
        <v>786</v>
      </c>
      <c r="D12" s="57" t="s">
        <v>304</v>
      </c>
      <c r="E12" s="390"/>
      <c r="F12" s="390"/>
      <c r="G12" s="390"/>
      <c r="H12" s="390"/>
      <c r="I12" s="390"/>
      <c r="J12" s="390"/>
      <c r="K12" s="390"/>
      <c r="L12" s="390"/>
      <c r="M12" s="390"/>
      <c r="N12" s="390"/>
      <c r="O12" s="137">
        <f t="shared" si="0"/>
        <v>0</v>
      </c>
      <c r="P12" s="137">
        <f t="shared" si="1"/>
        <v>0</v>
      </c>
      <c r="Q12" s="137">
        <f t="shared" si="2"/>
        <v>0</v>
      </c>
      <c r="R12" s="138">
        <f t="shared" si="3"/>
        <v>0</v>
      </c>
    </row>
    <row r="13" spans="1:18" ht="11.25">
      <c r="A13" s="5" t="s">
        <v>96</v>
      </c>
      <c r="B13" s="39" t="s">
        <v>308</v>
      </c>
      <c r="C13" s="219" t="s">
        <v>47</v>
      </c>
      <c r="D13" s="57" t="s">
        <v>304</v>
      </c>
      <c r="E13" s="390"/>
      <c r="F13" s="390">
        <v>38</v>
      </c>
      <c r="G13" s="390"/>
      <c r="H13" s="390"/>
      <c r="I13" s="390"/>
      <c r="J13" s="390"/>
      <c r="K13" s="390">
        <v>40</v>
      </c>
      <c r="L13" s="390"/>
      <c r="M13" s="390"/>
      <c r="N13" s="390"/>
      <c r="O13" s="137">
        <f t="shared" si="0"/>
        <v>0</v>
      </c>
      <c r="P13" s="137">
        <f t="shared" si="1"/>
        <v>0</v>
      </c>
      <c r="Q13" s="137">
        <f t="shared" si="2"/>
        <v>0</v>
      </c>
      <c r="R13" s="138">
        <f t="shared" si="3"/>
        <v>0</v>
      </c>
    </row>
    <row r="14" spans="1:18" ht="11.25">
      <c r="A14" s="5"/>
      <c r="B14" s="39" t="s">
        <v>309</v>
      </c>
      <c r="C14" s="219" t="s">
        <v>790</v>
      </c>
      <c r="D14" s="57" t="s">
        <v>255</v>
      </c>
      <c r="E14" s="137">
        <f>IF(E11=0,0,(E13/E11*100))</f>
        <v>0</v>
      </c>
      <c r="F14" s="137">
        <f aca="true" t="shared" si="4" ref="F14:N14">IF(F11=0,0,(F13/F11*100))</f>
        <v>0</v>
      </c>
      <c r="G14" s="137">
        <f t="shared" si="4"/>
        <v>0</v>
      </c>
      <c r="H14" s="137">
        <f t="shared" si="4"/>
        <v>0</v>
      </c>
      <c r="I14" s="137">
        <f t="shared" si="4"/>
        <v>0</v>
      </c>
      <c r="J14" s="137">
        <f t="shared" si="4"/>
        <v>0</v>
      </c>
      <c r="K14" s="137">
        <f t="shared" si="4"/>
        <v>0</v>
      </c>
      <c r="L14" s="137">
        <f t="shared" si="4"/>
        <v>0</v>
      </c>
      <c r="M14" s="137">
        <f t="shared" si="4"/>
        <v>0</v>
      </c>
      <c r="N14" s="137">
        <f t="shared" si="4"/>
        <v>0</v>
      </c>
      <c r="O14" s="137">
        <f t="shared" si="0"/>
        <v>0</v>
      </c>
      <c r="P14" s="137">
        <f t="shared" si="1"/>
        <v>0</v>
      </c>
      <c r="Q14" s="137">
        <f t="shared" si="2"/>
        <v>0</v>
      </c>
      <c r="R14" s="138">
        <f t="shared" si="3"/>
        <v>0</v>
      </c>
    </row>
    <row r="15" spans="1:18" ht="11.25">
      <c r="A15" s="5" t="s">
        <v>98</v>
      </c>
      <c r="B15" s="39" t="s">
        <v>310</v>
      </c>
      <c r="C15" s="219" t="s">
        <v>50</v>
      </c>
      <c r="D15" s="57" t="s">
        <v>304</v>
      </c>
      <c r="E15" s="390"/>
      <c r="F15" s="390"/>
      <c r="G15" s="390"/>
      <c r="H15" s="390"/>
      <c r="I15" s="390"/>
      <c r="J15" s="390"/>
      <c r="K15" s="390"/>
      <c r="L15" s="390"/>
      <c r="M15" s="390"/>
      <c r="N15" s="390"/>
      <c r="O15" s="137">
        <f t="shared" si="0"/>
        <v>0</v>
      </c>
      <c r="P15" s="137">
        <f t="shared" si="1"/>
        <v>0</v>
      </c>
      <c r="Q15" s="137">
        <f t="shared" si="2"/>
        <v>0</v>
      </c>
      <c r="R15" s="138">
        <f t="shared" si="3"/>
        <v>0</v>
      </c>
    </row>
    <row r="16" spans="1:18" ht="11.25">
      <c r="A16" s="63" t="s">
        <v>311</v>
      </c>
      <c r="B16" s="139" t="s">
        <v>312</v>
      </c>
      <c r="C16" s="219" t="s">
        <v>53</v>
      </c>
      <c r="D16" s="140" t="s">
        <v>304</v>
      </c>
      <c r="E16" s="418">
        <v>56</v>
      </c>
      <c r="F16" s="418">
        <v>38</v>
      </c>
      <c r="G16" s="418"/>
      <c r="H16" s="418">
        <v>56</v>
      </c>
      <c r="I16" s="418">
        <v>40</v>
      </c>
      <c r="J16" s="418"/>
      <c r="K16" s="418">
        <v>40</v>
      </c>
      <c r="L16" s="418"/>
      <c r="M16" s="418"/>
      <c r="N16" s="418"/>
      <c r="O16" s="137">
        <f t="shared" si="0"/>
        <v>71.42857142857143</v>
      </c>
      <c r="P16" s="137">
        <f t="shared" si="1"/>
        <v>0</v>
      </c>
      <c r="Q16" s="137">
        <f t="shared" si="2"/>
        <v>71.42857142857143</v>
      </c>
      <c r="R16" s="138">
        <f t="shared" si="3"/>
        <v>0</v>
      </c>
    </row>
    <row r="17" spans="1:18" ht="11.25">
      <c r="A17" s="5" t="s">
        <v>69</v>
      </c>
      <c r="B17" s="39" t="s">
        <v>313</v>
      </c>
      <c r="C17" s="219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8"/>
    </row>
    <row r="18" spans="1:18" ht="11.25">
      <c r="A18" s="5" t="s">
        <v>314</v>
      </c>
      <c r="B18" s="39" t="s">
        <v>315</v>
      </c>
      <c r="C18" s="219" t="s">
        <v>74</v>
      </c>
      <c r="D18" s="57" t="s">
        <v>258</v>
      </c>
      <c r="E18" s="390">
        <v>5736.28</v>
      </c>
      <c r="F18" s="390">
        <v>7270</v>
      </c>
      <c r="G18" s="390"/>
      <c r="H18" s="390">
        <v>5976.79</v>
      </c>
      <c r="I18" s="390">
        <v>7452</v>
      </c>
      <c r="J18" s="390"/>
      <c r="K18" s="390">
        <v>7993</v>
      </c>
      <c r="L18" s="390"/>
      <c r="M18" s="390"/>
      <c r="N18" s="390"/>
      <c r="O18" s="137">
        <f>IF(H18=0,0,(K18/H18*100))</f>
        <v>133.7339943347516</v>
      </c>
      <c r="P18" s="137">
        <f>IF(J18=0,0,(K18/J18*100))</f>
        <v>0</v>
      </c>
      <c r="Q18" s="137">
        <f>IF(E18=0,0,(K18/E18*100))</f>
        <v>139.3411758142908</v>
      </c>
      <c r="R18" s="138">
        <f>IF(G18=0,0,(K18/G18*100))</f>
        <v>0</v>
      </c>
    </row>
    <row r="19" spans="1:18" ht="11.25">
      <c r="A19" s="5" t="s">
        <v>316</v>
      </c>
      <c r="B19" s="39" t="s">
        <v>317</v>
      </c>
      <c r="C19" s="219" t="s">
        <v>787</v>
      </c>
      <c r="D19" s="57"/>
      <c r="E19" s="390"/>
      <c r="F19" s="390"/>
      <c r="G19" s="390"/>
      <c r="H19" s="390"/>
      <c r="I19" s="390"/>
      <c r="J19" s="390"/>
      <c r="K19" s="390"/>
      <c r="L19" s="390"/>
      <c r="M19" s="390"/>
      <c r="N19" s="390"/>
      <c r="O19" s="137">
        <f>IF(H19=0,0,(K19/H19*100))</f>
        <v>0</v>
      </c>
      <c r="P19" s="137">
        <f>IF(J19=0,0,(K19/J19*100))</f>
        <v>0</v>
      </c>
      <c r="Q19" s="137">
        <f>IF(E19=0,0,(K19/E19*100))</f>
        <v>0</v>
      </c>
      <c r="R19" s="138">
        <f>IF(G19=0,0,(K19/G19*100))</f>
        <v>0</v>
      </c>
    </row>
    <row r="20" spans="1:18" ht="33.75">
      <c r="A20" s="5" t="s">
        <v>318</v>
      </c>
      <c r="B20" s="39" t="s">
        <v>319</v>
      </c>
      <c r="C20" s="219" t="s">
        <v>788</v>
      </c>
      <c r="D20" s="57"/>
      <c r="E20" s="390">
        <v>1.23</v>
      </c>
      <c r="F20" s="390">
        <v>1.41486</v>
      </c>
      <c r="G20" s="390"/>
      <c r="H20" s="390">
        <v>1.23</v>
      </c>
      <c r="I20" s="390">
        <v>1.39</v>
      </c>
      <c r="J20" s="390"/>
      <c r="K20" s="424">
        <v>1.394</v>
      </c>
      <c r="L20" s="424"/>
      <c r="M20" s="424"/>
      <c r="N20" s="424"/>
      <c r="O20" s="137">
        <f>IF(H20=0,0,(K20/H20*100))</f>
        <v>113.33333333333333</v>
      </c>
      <c r="P20" s="137">
        <f>IF(J20=0,0,(K20/J20*100))</f>
        <v>0</v>
      </c>
      <c r="Q20" s="137">
        <f>IF(E20=0,0,(K20/E20*100))</f>
        <v>113.33333333333333</v>
      </c>
      <c r="R20" s="138">
        <f>IF(G20=0,0,(K20/G20*100))</f>
        <v>0</v>
      </c>
    </row>
    <row r="21" spans="1:18" ht="11.25">
      <c r="A21" s="5" t="s">
        <v>320</v>
      </c>
      <c r="B21" s="39" t="s">
        <v>321</v>
      </c>
      <c r="C21" s="219" t="s">
        <v>791</v>
      </c>
      <c r="D21" s="57" t="s">
        <v>258</v>
      </c>
      <c r="E21" s="137">
        <f>E18*E20</f>
        <v>7055.6244</v>
      </c>
      <c r="F21" s="137">
        <f aca="true" t="shared" si="5" ref="F21:N21">F18*F20</f>
        <v>10286.0322</v>
      </c>
      <c r="G21" s="137">
        <f t="shared" si="5"/>
        <v>0</v>
      </c>
      <c r="H21" s="137">
        <f t="shared" si="5"/>
        <v>7351.4517</v>
      </c>
      <c r="I21" s="137">
        <f t="shared" si="5"/>
        <v>10358.279999999999</v>
      </c>
      <c r="J21" s="137">
        <f t="shared" si="5"/>
        <v>0</v>
      </c>
      <c r="K21" s="137">
        <f t="shared" si="5"/>
        <v>11142.241999999998</v>
      </c>
      <c r="L21" s="137">
        <f t="shared" si="5"/>
        <v>0</v>
      </c>
      <c r="M21" s="137">
        <f t="shared" si="5"/>
        <v>0</v>
      </c>
      <c r="N21" s="137">
        <f t="shared" si="5"/>
        <v>0</v>
      </c>
      <c r="O21" s="137">
        <f>IF(H21=0,0,(K21/H21*100))</f>
        <v>151.56519357938515</v>
      </c>
      <c r="P21" s="137">
        <f>IF(J21=0,0,(K21/J21*100))</f>
        <v>0</v>
      </c>
      <c r="Q21" s="137">
        <f>IF(E21=0,0,(K21/E21*100))</f>
        <v>157.9199992561962</v>
      </c>
      <c r="R21" s="138">
        <f>IF(G21=0,0,(K21/G21*100))</f>
        <v>0</v>
      </c>
    </row>
    <row r="22" spans="1:18" ht="22.5">
      <c r="A22" s="5" t="s">
        <v>322</v>
      </c>
      <c r="B22" s="39" t="s">
        <v>323</v>
      </c>
      <c r="C22" s="219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8"/>
    </row>
    <row r="23" spans="1:18" ht="11.25">
      <c r="A23" s="5"/>
      <c r="B23" s="39" t="s">
        <v>324</v>
      </c>
      <c r="C23" s="219" t="s">
        <v>792</v>
      </c>
      <c r="D23" s="57" t="s">
        <v>255</v>
      </c>
      <c r="E23" s="390">
        <v>13.8781</v>
      </c>
      <c r="F23" s="390">
        <v>13.88</v>
      </c>
      <c r="G23" s="390"/>
      <c r="H23" s="390">
        <v>13.8781</v>
      </c>
      <c r="I23" s="390">
        <v>13.88</v>
      </c>
      <c r="J23" s="390"/>
      <c r="K23" s="390">
        <v>13.88</v>
      </c>
      <c r="L23" s="390"/>
      <c r="M23" s="390"/>
      <c r="N23" s="390"/>
      <c r="O23" s="137">
        <f>IF(H23=0,0,(K23/H23*100))</f>
        <v>100.0136906348852</v>
      </c>
      <c r="P23" s="137">
        <f>IF(J23=0,0,(K23/J23*100))</f>
        <v>0</v>
      </c>
      <c r="Q23" s="137">
        <f>IF(E23=0,0,(K23/E23*100))</f>
        <v>100.0136906348852</v>
      </c>
      <c r="R23" s="138">
        <f>IF(G23=0,0,(K23/G23*100))</f>
        <v>0</v>
      </c>
    </row>
    <row r="24" spans="1:18" ht="11.25">
      <c r="A24" s="5"/>
      <c r="B24" s="39" t="s">
        <v>325</v>
      </c>
      <c r="C24" s="219" t="s">
        <v>793</v>
      </c>
      <c r="D24" s="57" t="s">
        <v>258</v>
      </c>
      <c r="E24" s="137">
        <f>E21*E23/100</f>
        <v>979.1866098563999</v>
      </c>
      <c r="F24" s="137">
        <f aca="true" t="shared" si="6" ref="F24:N24">F21*F23/100</f>
        <v>1427.7012693600002</v>
      </c>
      <c r="G24" s="137">
        <f t="shared" si="6"/>
        <v>0</v>
      </c>
      <c r="H24" s="137">
        <f t="shared" si="6"/>
        <v>1020.2418183776999</v>
      </c>
      <c r="I24" s="137">
        <f t="shared" si="6"/>
        <v>1437.729264</v>
      </c>
      <c r="J24" s="137">
        <f t="shared" si="6"/>
        <v>0</v>
      </c>
      <c r="K24" s="137">
        <f t="shared" si="6"/>
        <v>1546.5431895999998</v>
      </c>
      <c r="L24" s="137">
        <f t="shared" si="6"/>
        <v>0</v>
      </c>
      <c r="M24" s="137">
        <f t="shared" si="6"/>
        <v>0</v>
      </c>
      <c r="N24" s="137">
        <f t="shared" si="6"/>
        <v>0</v>
      </c>
      <c r="O24" s="137">
        <f>IF(H24=0,0,(K24/H24*100))</f>
        <v>151.58594381665108</v>
      </c>
      <c r="P24" s="137">
        <f>IF(J24=0,0,(K24/J24*100))</f>
        <v>0</v>
      </c>
      <c r="Q24" s="137">
        <f>IF(E24=0,0,(K24/E24*100))</f>
        <v>157.94161950670508</v>
      </c>
      <c r="R24" s="138">
        <f>IF(G24=0,0,(K24/G24*100))</f>
        <v>0</v>
      </c>
    </row>
    <row r="25" spans="1:18" ht="11.25">
      <c r="A25" s="5" t="s">
        <v>326</v>
      </c>
      <c r="B25" s="39" t="s">
        <v>327</v>
      </c>
      <c r="C25" s="219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8"/>
    </row>
    <row r="26" spans="1:18" ht="11.25">
      <c r="A26" s="5"/>
      <c r="B26" s="39" t="s">
        <v>324</v>
      </c>
      <c r="C26" s="219" t="s">
        <v>795</v>
      </c>
      <c r="D26" s="57" t="s">
        <v>255</v>
      </c>
      <c r="E26" s="390">
        <v>20</v>
      </c>
      <c r="F26" s="390">
        <v>20</v>
      </c>
      <c r="G26" s="390"/>
      <c r="H26" s="390">
        <v>20</v>
      </c>
      <c r="I26" s="390">
        <v>20</v>
      </c>
      <c r="J26" s="390"/>
      <c r="K26" s="390">
        <v>20</v>
      </c>
      <c r="L26" s="390"/>
      <c r="M26" s="390"/>
      <c r="N26" s="390"/>
      <c r="O26" s="137">
        <f>IF(H26=0,0,(K26/H26*100))</f>
        <v>100</v>
      </c>
      <c r="P26" s="137">
        <f>IF(J26=0,0,(K26/J26*100))</f>
        <v>0</v>
      </c>
      <c r="Q26" s="137">
        <f>IF(E26=0,0,(K26/E26*100))</f>
        <v>100</v>
      </c>
      <c r="R26" s="138">
        <f>IF(G26=0,0,(K26/G26*100))</f>
        <v>0</v>
      </c>
    </row>
    <row r="27" spans="1:18" ht="11.25">
      <c r="A27" s="5"/>
      <c r="B27" s="39" t="s">
        <v>325</v>
      </c>
      <c r="C27" s="219" t="s">
        <v>796</v>
      </c>
      <c r="D27" s="57" t="s">
        <v>258</v>
      </c>
      <c r="E27" s="137">
        <f>(E21+E24)*E26/100</f>
        <v>1606.96220197128</v>
      </c>
      <c r="F27" s="137">
        <f aca="true" t="shared" si="7" ref="F27:N27">(F21+F24)*F26/100</f>
        <v>2342.746693872</v>
      </c>
      <c r="G27" s="137">
        <f t="shared" si="7"/>
        <v>0</v>
      </c>
      <c r="H27" s="137">
        <f t="shared" si="7"/>
        <v>1674.3387036755396</v>
      </c>
      <c r="I27" s="137">
        <f t="shared" si="7"/>
        <v>2359.2018528</v>
      </c>
      <c r="J27" s="137">
        <f t="shared" si="7"/>
        <v>0</v>
      </c>
      <c r="K27" s="137">
        <f t="shared" si="7"/>
        <v>2537.7570379199997</v>
      </c>
      <c r="L27" s="137">
        <f t="shared" si="7"/>
        <v>0</v>
      </c>
      <c r="M27" s="137">
        <f t="shared" si="7"/>
        <v>0</v>
      </c>
      <c r="N27" s="137">
        <f t="shared" si="7"/>
        <v>0</v>
      </c>
      <c r="O27" s="137">
        <f>IF(H27=0,0,(K27/H27*100))</f>
        <v>151.56772236997617</v>
      </c>
      <c r="P27" s="137">
        <f>IF(J27=0,0,(K27/J27*100))</f>
        <v>0</v>
      </c>
      <c r="Q27" s="137">
        <f>IF(E27=0,0,(K27/E27*100))</f>
        <v>157.92263407358945</v>
      </c>
      <c r="R27" s="138">
        <f>IF(G27=0,0,(K27/G27*100))</f>
        <v>0</v>
      </c>
    </row>
    <row r="28" spans="1:18" ht="11.25">
      <c r="A28" s="5" t="s">
        <v>328</v>
      </c>
      <c r="B28" s="39" t="s">
        <v>329</v>
      </c>
      <c r="C28" s="304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8"/>
    </row>
    <row r="29" spans="1:18" ht="11.25">
      <c r="A29" s="5"/>
      <c r="B29" s="39" t="s">
        <v>324</v>
      </c>
      <c r="C29" s="219" t="s">
        <v>798</v>
      </c>
      <c r="D29" s="57" t="s">
        <v>255</v>
      </c>
      <c r="E29" s="390"/>
      <c r="F29" s="390"/>
      <c r="G29" s="390"/>
      <c r="H29" s="390"/>
      <c r="I29" s="390"/>
      <c r="J29" s="390"/>
      <c r="K29" s="390"/>
      <c r="L29" s="390"/>
      <c r="M29" s="390"/>
      <c r="N29" s="390"/>
      <c r="O29" s="137">
        <f>IF(H29=0,0,(K29/H29*100))</f>
        <v>0</v>
      </c>
      <c r="P29" s="137">
        <f>IF(J29=0,0,(K29/J29*100))</f>
        <v>0</v>
      </c>
      <c r="Q29" s="137">
        <f>IF(E29=0,0,(K29/E29*100))</f>
        <v>0</v>
      </c>
      <c r="R29" s="138">
        <f>IF(G29=0,0,(K29/G29*100))</f>
        <v>0</v>
      </c>
    </row>
    <row r="30" spans="1:18" ht="11.25">
      <c r="A30" s="5"/>
      <c r="B30" s="39" t="s">
        <v>325</v>
      </c>
      <c r="C30" s="219" t="s">
        <v>799</v>
      </c>
      <c r="D30" s="57" t="s">
        <v>258</v>
      </c>
      <c r="E30" s="137">
        <f>E21*E29/100</f>
        <v>0</v>
      </c>
      <c r="F30" s="137">
        <f aca="true" t="shared" si="8" ref="F30:N30">F21*F29/100</f>
        <v>0</v>
      </c>
      <c r="G30" s="137">
        <f t="shared" si="8"/>
        <v>0</v>
      </c>
      <c r="H30" s="137">
        <f t="shared" si="8"/>
        <v>0</v>
      </c>
      <c r="I30" s="137">
        <f t="shared" si="8"/>
        <v>0</v>
      </c>
      <c r="J30" s="137">
        <f t="shared" si="8"/>
        <v>0</v>
      </c>
      <c r="K30" s="137">
        <f t="shared" si="8"/>
        <v>0</v>
      </c>
      <c r="L30" s="137">
        <f t="shared" si="8"/>
        <v>0</v>
      </c>
      <c r="M30" s="137">
        <f t="shared" si="8"/>
        <v>0</v>
      </c>
      <c r="N30" s="137">
        <f t="shared" si="8"/>
        <v>0</v>
      </c>
      <c r="O30" s="137">
        <f>IF(H30=0,0,(K30/H30*100))</f>
        <v>0</v>
      </c>
      <c r="P30" s="137">
        <f>IF(J30=0,0,(K30/J30*100))</f>
        <v>0</v>
      </c>
      <c r="Q30" s="137">
        <f>IF(E30=0,0,(K30/E30*100))</f>
        <v>0</v>
      </c>
      <c r="R30" s="138">
        <f>IF(G30=0,0,(K30/G30*100))</f>
        <v>0</v>
      </c>
    </row>
    <row r="31" spans="1:18" ht="11.25">
      <c r="A31" s="5" t="s">
        <v>330</v>
      </c>
      <c r="B31" s="39" t="s">
        <v>331</v>
      </c>
      <c r="C31" s="304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8"/>
    </row>
    <row r="32" spans="1:18" ht="11.25">
      <c r="A32" s="5"/>
      <c r="B32" s="39" t="s">
        <v>324</v>
      </c>
      <c r="C32" s="219" t="s">
        <v>800</v>
      </c>
      <c r="D32" s="57" t="s">
        <v>255</v>
      </c>
      <c r="E32" s="390"/>
      <c r="F32" s="390"/>
      <c r="G32" s="390"/>
      <c r="H32" s="390"/>
      <c r="I32" s="390"/>
      <c r="J32" s="390"/>
      <c r="K32" s="390"/>
      <c r="L32" s="390"/>
      <c r="M32" s="390"/>
      <c r="N32" s="390"/>
      <c r="O32" s="137">
        <f>IF(H32=0,0,(K32/H32*100))</f>
        <v>0</v>
      </c>
      <c r="P32" s="137">
        <f>IF(J32=0,0,(K32/J32*100))</f>
        <v>0</v>
      </c>
      <c r="Q32" s="137">
        <f>IF(E32=0,0,(K32/E32*100))</f>
        <v>0</v>
      </c>
      <c r="R32" s="138">
        <f>IF(G32=0,0,(K32/G32*100))</f>
        <v>0</v>
      </c>
    </row>
    <row r="33" spans="1:18" ht="11.25">
      <c r="A33" s="5"/>
      <c r="B33" s="39" t="s">
        <v>325</v>
      </c>
      <c r="C33" s="219" t="s">
        <v>801</v>
      </c>
      <c r="D33" s="57" t="s">
        <v>258</v>
      </c>
      <c r="E33" s="137">
        <f>(E21*E32/100)</f>
        <v>0</v>
      </c>
      <c r="F33" s="137">
        <f aca="true" t="shared" si="9" ref="F33:N33">(F21*F32/100)</f>
        <v>0</v>
      </c>
      <c r="G33" s="137">
        <f t="shared" si="9"/>
        <v>0</v>
      </c>
      <c r="H33" s="137">
        <f t="shared" si="9"/>
        <v>0</v>
      </c>
      <c r="I33" s="137">
        <f t="shared" si="9"/>
        <v>0</v>
      </c>
      <c r="J33" s="137">
        <f t="shared" si="9"/>
        <v>0</v>
      </c>
      <c r="K33" s="137">
        <f t="shared" si="9"/>
        <v>0</v>
      </c>
      <c r="L33" s="137">
        <f t="shared" si="9"/>
        <v>0</v>
      </c>
      <c r="M33" s="137">
        <f t="shared" si="9"/>
        <v>0</v>
      </c>
      <c r="N33" s="137">
        <f t="shared" si="9"/>
        <v>0</v>
      </c>
      <c r="O33" s="137">
        <f>IF(H33=0,0,(K33/H33*100))</f>
        <v>0</v>
      </c>
      <c r="P33" s="137">
        <f>IF(J33=0,0,(K33/J33*100))</f>
        <v>0</v>
      </c>
      <c r="Q33" s="137">
        <f>IF(E33=0,0,(K33/E33*100))</f>
        <v>0</v>
      </c>
      <c r="R33" s="138">
        <f>IF(G33=0,0,(K33/G33*100))</f>
        <v>0</v>
      </c>
    </row>
    <row r="34" spans="1:18" ht="11.25">
      <c r="A34" s="5" t="s">
        <v>332</v>
      </c>
      <c r="B34" s="417" t="s">
        <v>333</v>
      </c>
      <c r="C34" s="304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8"/>
    </row>
    <row r="35" spans="1:18" ht="11.25">
      <c r="A35" s="5"/>
      <c r="B35" s="39" t="s">
        <v>324</v>
      </c>
      <c r="C35" s="219" t="s">
        <v>802</v>
      </c>
      <c r="D35" s="57" t="s">
        <v>255</v>
      </c>
      <c r="E35" s="390"/>
      <c r="F35" s="390"/>
      <c r="G35" s="390"/>
      <c r="H35" s="390"/>
      <c r="I35" s="390"/>
      <c r="J35" s="390"/>
      <c r="K35" s="390"/>
      <c r="L35" s="390"/>
      <c r="M35" s="390"/>
      <c r="N35" s="390"/>
      <c r="O35" s="137">
        <f>IF(H35=0,0,(K35/H35*100))</f>
        <v>0</v>
      </c>
      <c r="P35" s="137">
        <f>IF(J35=0,0,(K35/J35*100))</f>
        <v>0</v>
      </c>
      <c r="Q35" s="137">
        <f>IF(E35=0,0,(K35/E35*100))</f>
        <v>0</v>
      </c>
      <c r="R35" s="138">
        <f>IF(G35=0,0,(K35/G35*100))</f>
        <v>0</v>
      </c>
    </row>
    <row r="36" spans="1:18" ht="11.25">
      <c r="A36" s="5"/>
      <c r="B36" s="39" t="s">
        <v>325</v>
      </c>
      <c r="C36" s="219" t="s">
        <v>803</v>
      </c>
      <c r="D36" s="57" t="s">
        <v>258</v>
      </c>
      <c r="E36" s="218">
        <f>(E21*E35/100)</f>
        <v>0</v>
      </c>
      <c r="F36" s="218">
        <f aca="true" t="shared" si="10" ref="F36:N36">(F21*F35/100)</f>
        <v>0</v>
      </c>
      <c r="G36" s="218">
        <f t="shared" si="10"/>
        <v>0</v>
      </c>
      <c r="H36" s="218">
        <f t="shared" si="10"/>
        <v>0</v>
      </c>
      <c r="I36" s="218">
        <f t="shared" si="10"/>
        <v>0</v>
      </c>
      <c r="J36" s="218">
        <f t="shared" si="10"/>
        <v>0</v>
      </c>
      <c r="K36" s="218">
        <f t="shared" si="10"/>
        <v>0</v>
      </c>
      <c r="L36" s="218">
        <f t="shared" si="10"/>
        <v>0</v>
      </c>
      <c r="M36" s="218">
        <f t="shared" si="10"/>
        <v>0</v>
      </c>
      <c r="N36" s="218">
        <f t="shared" si="10"/>
        <v>0</v>
      </c>
      <c r="O36" s="137">
        <f>IF(H36=0,0,(K36/H36*100))</f>
        <v>0</v>
      </c>
      <c r="P36" s="137">
        <f>IF(J36=0,0,(K36/J36*100))</f>
        <v>0</v>
      </c>
      <c r="Q36" s="137">
        <f>IF(E36=0,0,(K36/E36*100))</f>
        <v>0</v>
      </c>
      <c r="R36" s="138">
        <f>IF(G36=0,0,(K36/G36*100))</f>
        <v>0</v>
      </c>
    </row>
    <row r="37" spans="1:18" ht="11.25">
      <c r="A37" s="5" t="s">
        <v>334</v>
      </c>
      <c r="B37" s="417" t="s">
        <v>333</v>
      </c>
      <c r="C37" s="304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8"/>
    </row>
    <row r="38" spans="1:18" ht="11.25">
      <c r="A38" s="5"/>
      <c r="B38" s="39" t="s">
        <v>324</v>
      </c>
      <c r="C38" s="219" t="s">
        <v>804</v>
      </c>
      <c r="D38" s="57" t="s">
        <v>255</v>
      </c>
      <c r="E38" s="390"/>
      <c r="F38" s="390"/>
      <c r="G38" s="390"/>
      <c r="H38" s="390"/>
      <c r="I38" s="390"/>
      <c r="J38" s="390"/>
      <c r="K38" s="390"/>
      <c r="L38" s="390"/>
      <c r="M38" s="390"/>
      <c r="N38" s="390"/>
      <c r="O38" s="137">
        <f>IF(H38=0,0,(K38/H38*100))</f>
        <v>0</v>
      </c>
      <c r="P38" s="137">
        <f>IF(J38=0,0,(K38/J38*100))</f>
        <v>0</v>
      </c>
      <c r="Q38" s="137">
        <f>IF(E38=0,0,(K38/E38*100))</f>
        <v>0</v>
      </c>
      <c r="R38" s="138">
        <f>IF(G38=0,0,(K38/G38*100))</f>
        <v>0</v>
      </c>
    </row>
    <row r="39" spans="1:18" ht="11.25">
      <c r="A39" s="5"/>
      <c r="B39" s="39" t="s">
        <v>325</v>
      </c>
      <c r="C39" s="219" t="s">
        <v>805</v>
      </c>
      <c r="D39" s="57" t="s">
        <v>258</v>
      </c>
      <c r="E39" s="218">
        <f>(E21*E38/100)</f>
        <v>0</v>
      </c>
      <c r="F39" s="218">
        <f aca="true" t="shared" si="11" ref="F39:N39">(F21*F38/100)</f>
        <v>0</v>
      </c>
      <c r="G39" s="218">
        <f t="shared" si="11"/>
        <v>0</v>
      </c>
      <c r="H39" s="218">
        <f t="shared" si="11"/>
        <v>0</v>
      </c>
      <c r="I39" s="218">
        <f t="shared" si="11"/>
        <v>0</v>
      </c>
      <c r="J39" s="218">
        <f t="shared" si="11"/>
        <v>0</v>
      </c>
      <c r="K39" s="218">
        <f t="shared" si="11"/>
        <v>0</v>
      </c>
      <c r="L39" s="218">
        <f t="shared" si="11"/>
        <v>0</v>
      </c>
      <c r="M39" s="218">
        <f t="shared" si="11"/>
        <v>0</v>
      </c>
      <c r="N39" s="218">
        <f t="shared" si="11"/>
        <v>0</v>
      </c>
      <c r="O39" s="137">
        <f>IF(H39=0,0,(K39/H39*100))</f>
        <v>0</v>
      </c>
      <c r="P39" s="137">
        <f>IF(J39=0,0,(K39/J39*100))</f>
        <v>0</v>
      </c>
      <c r="Q39" s="137">
        <f>IF(E39=0,0,(K39/E39*100))</f>
        <v>0</v>
      </c>
      <c r="R39" s="138">
        <f>IF(G39=0,0,(K39/G39*100))</f>
        <v>0</v>
      </c>
    </row>
    <row r="40" spans="1:18" ht="22.5">
      <c r="A40" s="5" t="s">
        <v>335</v>
      </c>
      <c r="B40" s="39" t="s">
        <v>336</v>
      </c>
      <c r="C40" s="304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8"/>
    </row>
    <row r="41" spans="1:18" ht="11.25">
      <c r="A41" s="5"/>
      <c r="B41" s="39" t="s">
        <v>324</v>
      </c>
      <c r="C41" s="219" t="s">
        <v>806</v>
      </c>
      <c r="D41" s="57" t="s">
        <v>255</v>
      </c>
      <c r="E41" s="390">
        <v>130</v>
      </c>
      <c r="F41" s="390">
        <v>130</v>
      </c>
      <c r="G41" s="390"/>
      <c r="H41" s="390">
        <v>130</v>
      </c>
      <c r="I41" s="390">
        <v>130</v>
      </c>
      <c r="J41" s="390"/>
      <c r="K41" s="390">
        <v>130</v>
      </c>
      <c r="L41" s="390"/>
      <c r="M41" s="390"/>
      <c r="N41" s="390"/>
      <c r="O41" s="137">
        <f>IF(H41=0,0,(K41/H41*100))</f>
        <v>100</v>
      </c>
      <c r="P41" s="137">
        <f>IF(J41=0,0,(K41/J41*100))</f>
        <v>0</v>
      </c>
      <c r="Q41" s="137">
        <f>IF(E41=0,0,(K41/E41*100))</f>
        <v>100</v>
      </c>
      <c r="R41" s="138">
        <f>IF(G41=0,0,(K41/G41*100))</f>
        <v>0</v>
      </c>
    </row>
    <row r="42" spans="1:18" ht="11.25">
      <c r="A42" s="5"/>
      <c r="B42" s="39" t="s">
        <v>325</v>
      </c>
      <c r="C42" s="219" t="s">
        <v>807</v>
      </c>
      <c r="D42" s="57" t="s">
        <v>258</v>
      </c>
      <c r="E42" s="218">
        <f>(E21+E24+E27+E30+E33)*E41/100</f>
        <v>12534.305175375985</v>
      </c>
      <c r="F42" s="218">
        <f aca="true" t="shared" si="12" ref="F42:M42">(F21+F24+F27+F30+F33)*F41/100</f>
        <v>18273.4242122016</v>
      </c>
      <c r="G42" s="218">
        <f t="shared" si="12"/>
        <v>0</v>
      </c>
      <c r="H42" s="218">
        <f t="shared" si="12"/>
        <v>13059.84188866921</v>
      </c>
      <c r="I42" s="218">
        <f t="shared" si="12"/>
        <v>18401.774451839996</v>
      </c>
      <c r="J42" s="218">
        <f t="shared" si="12"/>
        <v>0</v>
      </c>
      <c r="K42" s="218">
        <f t="shared" si="12"/>
        <v>19794.504895775997</v>
      </c>
      <c r="L42" s="218">
        <f t="shared" si="12"/>
        <v>0</v>
      </c>
      <c r="M42" s="218">
        <f t="shared" si="12"/>
        <v>0</v>
      </c>
      <c r="N42" s="218">
        <f>(N21+N24+N27+N30+N33)*N41/100</f>
        <v>0</v>
      </c>
      <c r="O42" s="137">
        <f>IF(H42=0,0,(K42/H42*100))</f>
        <v>151.56772236997614</v>
      </c>
      <c r="P42" s="137">
        <f>IF(J42=0,0,(K42/J42*100))</f>
        <v>0</v>
      </c>
      <c r="Q42" s="137">
        <f>IF(E42=0,0,(K42/E42*100))</f>
        <v>157.92263407358942</v>
      </c>
      <c r="R42" s="138">
        <f>IF(G42=0,0,(K42/G42*100))</f>
        <v>0</v>
      </c>
    </row>
    <row r="43" spans="1:18" ht="22.5">
      <c r="A43" s="63" t="s">
        <v>75</v>
      </c>
      <c r="B43" s="139" t="s">
        <v>337</v>
      </c>
      <c r="C43" s="219" t="s">
        <v>77</v>
      </c>
      <c r="D43" s="140" t="s">
        <v>258</v>
      </c>
      <c r="E43" s="141">
        <f>E21+E24+E27+E30+E33+E36+E39+E42</f>
        <v>22176.078387203663</v>
      </c>
      <c r="F43" s="141">
        <f aca="true" t="shared" si="13" ref="F43:M43">F21+F24+F27+F30+F33+F36+F39+F42</f>
        <v>32329.9043754336</v>
      </c>
      <c r="G43" s="141">
        <f t="shared" si="13"/>
        <v>0</v>
      </c>
      <c r="H43" s="141">
        <f t="shared" si="13"/>
        <v>23105.87411072245</v>
      </c>
      <c r="I43" s="141">
        <f t="shared" si="13"/>
        <v>32556.985568639993</v>
      </c>
      <c r="J43" s="141">
        <f t="shared" si="13"/>
        <v>0</v>
      </c>
      <c r="K43" s="141">
        <f t="shared" si="13"/>
        <v>35021.047123296</v>
      </c>
      <c r="L43" s="141">
        <f t="shared" si="13"/>
        <v>0</v>
      </c>
      <c r="M43" s="141">
        <f t="shared" si="13"/>
        <v>0</v>
      </c>
      <c r="N43" s="141">
        <f>N21+N24+N27+N30+N33+N36+N39+N42</f>
        <v>0</v>
      </c>
      <c r="O43" s="141">
        <f>IF(H43=0,0,(K43/H43*100))</f>
        <v>151.56772236997617</v>
      </c>
      <c r="P43" s="141">
        <f>IF(J43=0,0,(K43/J43*100))</f>
        <v>0</v>
      </c>
      <c r="Q43" s="141">
        <f>IF(E43=0,0,(K43/E43*100))</f>
        <v>157.92263407358945</v>
      </c>
      <c r="R43" s="142">
        <f>IF(G43=0,0,(K43/G43*100))</f>
        <v>0</v>
      </c>
    </row>
    <row r="44" spans="1:18" ht="22.5">
      <c r="A44" s="5" t="s">
        <v>78</v>
      </c>
      <c r="B44" s="143" t="s">
        <v>338</v>
      </c>
      <c r="C44" s="219" t="s">
        <v>80</v>
      </c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8"/>
    </row>
    <row r="45" spans="1:18" ht="11.25">
      <c r="A45" s="5" t="s">
        <v>105</v>
      </c>
      <c r="B45" s="39" t="s">
        <v>339</v>
      </c>
      <c r="C45" s="219" t="s">
        <v>107</v>
      </c>
      <c r="D45" s="57" t="s">
        <v>157</v>
      </c>
      <c r="E45" s="390"/>
      <c r="F45" s="390"/>
      <c r="G45" s="390"/>
      <c r="H45" s="390"/>
      <c r="I45" s="390"/>
      <c r="J45" s="390"/>
      <c r="K45" s="390"/>
      <c r="L45" s="390"/>
      <c r="M45" s="390"/>
      <c r="N45" s="390"/>
      <c r="O45" s="137">
        <f>IF(H45=0,0,(K45/H45*100))</f>
        <v>0</v>
      </c>
      <c r="P45" s="137">
        <f>IF(J45=0,0,(K45/J45*100))</f>
        <v>0</v>
      </c>
      <c r="Q45" s="137">
        <f>IF(E45=0,0,(K45/E45*100))</f>
        <v>0</v>
      </c>
      <c r="R45" s="138">
        <f>IF(G45=0,0,(K45/G45*100))</f>
        <v>0</v>
      </c>
    </row>
    <row r="46" spans="1:18" ht="11.25">
      <c r="A46" s="5" t="s">
        <v>113</v>
      </c>
      <c r="B46" s="39" t="s">
        <v>340</v>
      </c>
      <c r="C46" s="219" t="s">
        <v>115</v>
      </c>
      <c r="D46" s="57" t="s">
        <v>157</v>
      </c>
      <c r="E46" s="390"/>
      <c r="F46" s="390"/>
      <c r="G46" s="390"/>
      <c r="H46" s="390"/>
      <c r="I46" s="390"/>
      <c r="J46" s="390"/>
      <c r="K46" s="390"/>
      <c r="L46" s="390"/>
      <c r="M46" s="390"/>
      <c r="N46" s="390"/>
      <c r="O46" s="137">
        <f>IF(H46=0,0,(K46/H46*100))</f>
        <v>0</v>
      </c>
      <c r="P46" s="137">
        <f>IF(J46=0,0,(K46/J46*100))</f>
        <v>0</v>
      </c>
      <c r="Q46" s="137">
        <f>IF(E46=0,0,(K46/E46*100))</f>
        <v>0</v>
      </c>
      <c r="R46" s="138">
        <f>IF(G46=0,0,(K46/G46*100))</f>
        <v>0</v>
      </c>
    </row>
    <row r="47" spans="1:18" ht="11.25">
      <c r="A47" s="5" t="s">
        <v>116</v>
      </c>
      <c r="B47" s="39" t="s">
        <v>341</v>
      </c>
      <c r="C47" s="219" t="s">
        <v>118</v>
      </c>
      <c r="D47" s="57" t="s">
        <v>157</v>
      </c>
      <c r="E47" s="390"/>
      <c r="F47" s="390"/>
      <c r="G47" s="390"/>
      <c r="H47" s="390"/>
      <c r="I47" s="390"/>
      <c r="J47" s="390"/>
      <c r="K47" s="390"/>
      <c r="L47" s="390"/>
      <c r="M47" s="390"/>
      <c r="N47" s="390"/>
      <c r="O47" s="137">
        <f>IF(H47=0,0,(K47/H47*100))</f>
        <v>0</v>
      </c>
      <c r="P47" s="137">
        <f>IF(J47=0,0,(K47/J47*100))</f>
        <v>0</v>
      </c>
      <c r="Q47" s="137">
        <f>IF(E47=0,0,(K47/E47*100))</f>
        <v>0</v>
      </c>
      <c r="R47" s="138">
        <f>IF(G47=0,0,(K47/G47*100))</f>
        <v>0</v>
      </c>
    </row>
    <row r="48" spans="1:18" s="149" customFormat="1" ht="11.25">
      <c r="A48" s="144"/>
      <c r="B48" s="99"/>
      <c r="C48" s="219"/>
      <c r="D48" s="145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7"/>
      <c r="P48" s="147"/>
      <c r="Q48" s="147"/>
      <c r="R48" s="148"/>
    </row>
    <row r="49" spans="1:18" ht="12.75" customHeight="1">
      <c r="A49" s="5"/>
      <c r="B49" s="39" t="s">
        <v>342</v>
      </c>
      <c r="C49" s="219" t="s">
        <v>808</v>
      </c>
      <c r="D49" s="57"/>
      <c r="E49" s="419">
        <v>12</v>
      </c>
      <c r="F49" s="419">
        <v>12</v>
      </c>
      <c r="G49" s="419">
        <v>12</v>
      </c>
      <c r="H49" s="419">
        <v>12</v>
      </c>
      <c r="I49" s="419">
        <v>12</v>
      </c>
      <c r="J49" s="419">
        <v>12</v>
      </c>
      <c r="K49" s="419">
        <v>12</v>
      </c>
      <c r="L49" s="419">
        <v>12</v>
      </c>
      <c r="M49" s="419">
        <v>12</v>
      </c>
      <c r="N49" s="419">
        <v>12</v>
      </c>
      <c r="O49" s="147"/>
      <c r="P49" s="147"/>
      <c r="Q49" s="147"/>
      <c r="R49" s="148"/>
    </row>
    <row r="50" spans="1:18" s="149" customFormat="1" ht="11.25">
      <c r="A50" s="144"/>
      <c r="B50" s="99"/>
      <c r="C50" s="219"/>
      <c r="D50" s="145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7"/>
      <c r="P50" s="147"/>
      <c r="Q50" s="147"/>
      <c r="R50" s="148"/>
    </row>
    <row r="51" spans="1:18" ht="11.25">
      <c r="A51" s="63" t="s">
        <v>119</v>
      </c>
      <c r="B51" s="139" t="s">
        <v>343</v>
      </c>
      <c r="C51" s="219" t="s">
        <v>121</v>
      </c>
      <c r="D51" s="140" t="s">
        <v>157</v>
      </c>
      <c r="E51" s="141">
        <f>E43*E16*E49/1000+E45+E46+E47</f>
        <v>14902.324676200862</v>
      </c>
      <c r="F51" s="141">
        <f aca="true" t="shared" si="14" ref="F51:N51">F43*F16*F49/1000+F45+F46+F47</f>
        <v>14742.436395197723</v>
      </c>
      <c r="G51" s="141">
        <f t="shared" si="14"/>
        <v>0</v>
      </c>
      <c r="H51" s="141">
        <f t="shared" si="14"/>
        <v>15527.147402405486</v>
      </c>
      <c r="I51" s="141">
        <f t="shared" si="14"/>
        <v>15627.353072947197</v>
      </c>
      <c r="J51" s="141">
        <f t="shared" si="14"/>
        <v>0</v>
      </c>
      <c r="K51" s="141">
        <f t="shared" si="14"/>
        <v>16810.10261918208</v>
      </c>
      <c r="L51" s="141">
        <f t="shared" si="14"/>
        <v>0</v>
      </c>
      <c r="M51" s="141">
        <f t="shared" si="14"/>
        <v>0</v>
      </c>
      <c r="N51" s="141">
        <f t="shared" si="14"/>
        <v>0</v>
      </c>
      <c r="O51" s="141">
        <f>IF(H51=0,0,(K51/H51*100))</f>
        <v>108.26265883569725</v>
      </c>
      <c r="P51" s="141">
        <f>IF(J51=0,0,(K51/J51*100))</f>
        <v>0</v>
      </c>
      <c r="Q51" s="141">
        <f>IF(E51=0,0,(K51/E51*100))</f>
        <v>112.80188148113533</v>
      </c>
      <c r="R51" s="142">
        <f>IF(G51=0,0,(K51/G51*100))</f>
        <v>0</v>
      </c>
    </row>
    <row r="52" spans="1:18" ht="22.5">
      <c r="A52" s="5" t="s">
        <v>122</v>
      </c>
      <c r="B52" s="39" t="s">
        <v>344</v>
      </c>
      <c r="C52" s="219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8"/>
    </row>
    <row r="53" spans="1:18" ht="11.25">
      <c r="A53" s="5" t="s">
        <v>218</v>
      </c>
      <c r="B53" s="39" t="s">
        <v>308</v>
      </c>
      <c r="C53" s="219" t="s">
        <v>732</v>
      </c>
      <c r="D53" s="57" t="s">
        <v>304</v>
      </c>
      <c r="E53" s="390"/>
      <c r="F53" s="390">
        <v>22.5</v>
      </c>
      <c r="G53" s="390"/>
      <c r="H53" s="390"/>
      <c r="I53" s="390">
        <v>24.5</v>
      </c>
      <c r="J53" s="390"/>
      <c r="K53" s="390">
        <v>24.5</v>
      </c>
      <c r="L53" s="390"/>
      <c r="M53" s="390"/>
      <c r="N53" s="390"/>
      <c r="O53" s="137">
        <f aca="true" t="shared" si="15" ref="O53:O59">IF(H53=0,0,(K53/H53*100))</f>
        <v>0</v>
      </c>
      <c r="P53" s="137">
        <f aca="true" t="shared" si="16" ref="P53:P59">IF(J53=0,0,(K53/J53*100))</f>
        <v>0</v>
      </c>
      <c r="Q53" s="137">
        <f aca="true" t="shared" si="17" ref="Q53:Q59">IF(E53=0,0,(K53/E53*100))</f>
        <v>0</v>
      </c>
      <c r="R53" s="138">
        <f aca="true" t="shared" si="18" ref="R53:R59">IF(G53=0,0,(K53/G53*100))</f>
        <v>0</v>
      </c>
    </row>
    <row r="54" spans="1:18" ht="11.25">
      <c r="A54" s="5" t="s">
        <v>220</v>
      </c>
      <c r="B54" s="39" t="s">
        <v>345</v>
      </c>
      <c r="C54" s="219" t="s">
        <v>733</v>
      </c>
      <c r="D54" s="57" t="s">
        <v>304</v>
      </c>
      <c r="E54" s="390"/>
      <c r="F54" s="390">
        <v>22.5</v>
      </c>
      <c r="G54" s="390"/>
      <c r="H54" s="390"/>
      <c r="I54" s="390">
        <v>24.5</v>
      </c>
      <c r="J54" s="390"/>
      <c r="K54" s="390">
        <v>24.5</v>
      </c>
      <c r="L54" s="390"/>
      <c r="M54" s="390"/>
      <c r="N54" s="390"/>
      <c r="O54" s="137">
        <f t="shared" si="15"/>
        <v>0</v>
      </c>
      <c r="P54" s="137">
        <f t="shared" si="16"/>
        <v>0</v>
      </c>
      <c r="Q54" s="137">
        <f t="shared" si="17"/>
        <v>0</v>
      </c>
      <c r="R54" s="138">
        <f t="shared" si="18"/>
        <v>0</v>
      </c>
    </row>
    <row r="55" spans="1:18" ht="11.25">
      <c r="A55" s="5" t="s">
        <v>222</v>
      </c>
      <c r="B55" s="39" t="s">
        <v>346</v>
      </c>
      <c r="C55" s="219" t="s">
        <v>734</v>
      </c>
      <c r="D55" s="57" t="s">
        <v>258</v>
      </c>
      <c r="E55" s="137">
        <f>E43*E59/100</f>
        <v>0</v>
      </c>
      <c r="F55" s="137">
        <f aca="true" t="shared" si="19" ref="F55:N55">F43*F59/100</f>
        <v>39643.93097219232</v>
      </c>
      <c r="G55" s="137">
        <f t="shared" si="19"/>
        <v>0</v>
      </c>
      <c r="H55" s="137">
        <f t="shared" si="19"/>
        <v>0</v>
      </c>
      <c r="I55" s="137">
        <f t="shared" si="19"/>
        <v>39922.38497081899</v>
      </c>
      <c r="J55" s="137">
        <f t="shared" si="19"/>
        <v>0</v>
      </c>
      <c r="K55" s="137">
        <f t="shared" si="19"/>
        <v>42943.89363504637</v>
      </c>
      <c r="L55" s="137">
        <f t="shared" si="19"/>
        <v>0</v>
      </c>
      <c r="M55" s="137">
        <f t="shared" si="19"/>
        <v>0</v>
      </c>
      <c r="N55" s="137">
        <f t="shared" si="19"/>
        <v>0</v>
      </c>
      <c r="O55" s="137">
        <f t="shared" si="15"/>
        <v>0</v>
      </c>
      <c r="P55" s="137">
        <f t="shared" si="16"/>
        <v>0</v>
      </c>
      <c r="Q55" s="137">
        <f t="shared" si="17"/>
        <v>0</v>
      </c>
      <c r="R55" s="138">
        <f t="shared" si="18"/>
        <v>0</v>
      </c>
    </row>
    <row r="56" spans="1:18" ht="11.25">
      <c r="A56" s="5" t="s">
        <v>224</v>
      </c>
      <c r="B56" s="39" t="s">
        <v>339</v>
      </c>
      <c r="C56" s="219" t="s">
        <v>736</v>
      </c>
      <c r="D56" s="57" t="s">
        <v>157</v>
      </c>
      <c r="E56" s="390"/>
      <c r="F56" s="390"/>
      <c r="G56" s="390"/>
      <c r="H56" s="390"/>
      <c r="I56" s="390"/>
      <c r="J56" s="390"/>
      <c r="K56" s="390"/>
      <c r="L56" s="390"/>
      <c r="M56" s="390"/>
      <c r="N56" s="390"/>
      <c r="O56" s="137">
        <f t="shared" si="15"/>
        <v>0</v>
      </c>
      <c r="P56" s="137">
        <f t="shared" si="16"/>
        <v>0</v>
      </c>
      <c r="Q56" s="137">
        <f t="shared" si="17"/>
        <v>0</v>
      </c>
      <c r="R56" s="138">
        <f t="shared" si="18"/>
        <v>0</v>
      </c>
    </row>
    <row r="57" spans="1:18" ht="11.25">
      <c r="A57" s="5" t="s">
        <v>226</v>
      </c>
      <c r="B57" s="39" t="s">
        <v>340</v>
      </c>
      <c r="C57" s="219" t="s">
        <v>737</v>
      </c>
      <c r="D57" s="57" t="s">
        <v>157</v>
      </c>
      <c r="E57" s="390"/>
      <c r="F57" s="390"/>
      <c r="G57" s="390"/>
      <c r="H57" s="390"/>
      <c r="I57" s="390"/>
      <c r="J57" s="390"/>
      <c r="K57" s="390"/>
      <c r="L57" s="390"/>
      <c r="M57" s="390"/>
      <c r="N57" s="390"/>
      <c r="O57" s="137">
        <f t="shared" si="15"/>
        <v>0</v>
      </c>
      <c r="P57" s="137">
        <f t="shared" si="16"/>
        <v>0</v>
      </c>
      <c r="Q57" s="137">
        <f t="shared" si="17"/>
        <v>0</v>
      </c>
      <c r="R57" s="138">
        <f t="shared" si="18"/>
        <v>0</v>
      </c>
    </row>
    <row r="58" spans="1:18" ht="11.25">
      <c r="A58" s="63" t="s">
        <v>347</v>
      </c>
      <c r="B58" s="139" t="s">
        <v>348</v>
      </c>
      <c r="C58" s="219" t="s">
        <v>809</v>
      </c>
      <c r="D58" s="140" t="s">
        <v>157</v>
      </c>
      <c r="E58" s="150">
        <f>E55*E54*12/1000+E56+E57</f>
        <v>0</v>
      </c>
      <c r="F58" s="141">
        <f aca="true" t="shared" si="20" ref="F58:N58">F55*F54*12/1000+F56+F57</f>
        <v>10703.861362491927</v>
      </c>
      <c r="G58" s="150">
        <f t="shared" si="20"/>
        <v>0</v>
      </c>
      <c r="H58" s="150">
        <f t="shared" si="20"/>
        <v>0</v>
      </c>
      <c r="I58" s="150">
        <f t="shared" si="20"/>
        <v>11737.181181420783</v>
      </c>
      <c r="J58" s="150">
        <f t="shared" si="20"/>
        <v>0</v>
      </c>
      <c r="K58" s="150">
        <f t="shared" si="20"/>
        <v>12625.504728703632</v>
      </c>
      <c r="L58" s="150">
        <f t="shared" si="20"/>
        <v>0</v>
      </c>
      <c r="M58" s="150">
        <f t="shared" si="20"/>
        <v>0</v>
      </c>
      <c r="N58" s="150">
        <f t="shared" si="20"/>
        <v>0</v>
      </c>
      <c r="O58" s="141">
        <f t="shared" si="15"/>
        <v>0</v>
      </c>
      <c r="P58" s="141">
        <f t="shared" si="16"/>
        <v>0</v>
      </c>
      <c r="Q58" s="141">
        <f t="shared" si="17"/>
        <v>0</v>
      </c>
      <c r="R58" s="142">
        <f t="shared" si="18"/>
        <v>0</v>
      </c>
    </row>
    <row r="59" spans="1:18" ht="23.25" thickBot="1">
      <c r="A59" s="6" t="s">
        <v>349</v>
      </c>
      <c r="B59" s="151" t="s">
        <v>350</v>
      </c>
      <c r="C59" s="313" t="s">
        <v>810</v>
      </c>
      <c r="D59" s="152" t="s">
        <v>255</v>
      </c>
      <c r="E59" s="420"/>
      <c r="F59" s="420">
        <v>122.6231</v>
      </c>
      <c r="G59" s="420"/>
      <c r="H59" s="420"/>
      <c r="I59" s="420">
        <v>122.6231</v>
      </c>
      <c r="J59" s="420">
        <v>122.6231</v>
      </c>
      <c r="K59" s="420">
        <v>122.6231</v>
      </c>
      <c r="L59" s="420"/>
      <c r="M59" s="420"/>
      <c r="N59" s="420"/>
      <c r="O59" s="311">
        <f t="shared" si="15"/>
        <v>0</v>
      </c>
      <c r="P59" s="311">
        <f t="shared" si="16"/>
        <v>100</v>
      </c>
      <c r="Q59" s="311">
        <f t="shared" si="17"/>
        <v>0</v>
      </c>
      <c r="R59" s="312">
        <f t="shared" si="18"/>
        <v>0</v>
      </c>
    </row>
    <row r="60" spans="2:18" ht="11.25">
      <c r="B60" s="1"/>
      <c r="C60" s="227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2" spans="1:8" ht="15">
      <c r="A62" t="s">
        <v>1353</v>
      </c>
      <c r="E62" s="576"/>
      <c r="F62" s="608"/>
      <c r="G62" s="607"/>
      <c r="H62" s="608"/>
    </row>
    <row r="63" spans="1:8" ht="15">
      <c r="A63" t="s">
        <v>1350</v>
      </c>
      <c r="E63" s="576"/>
      <c r="F63" s="576"/>
      <c r="G63" s="576" t="s">
        <v>1288</v>
      </c>
      <c r="H63" s="576"/>
    </row>
    <row r="64" spans="5:8" ht="15">
      <c r="E64" s="576"/>
      <c r="F64" s="576"/>
      <c r="G64" s="576"/>
      <c r="H64" s="576"/>
    </row>
  </sheetData>
  <sheetProtection formatColumns="0" formatRows="0"/>
  <mergeCells count="9">
    <mergeCell ref="H3:J4"/>
    <mergeCell ref="O3:P4"/>
    <mergeCell ref="Q3:R4"/>
    <mergeCell ref="A3:A5"/>
    <mergeCell ref="B3:B5"/>
    <mergeCell ref="D3:D5"/>
    <mergeCell ref="E3:G4"/>
    <mergeCell ref="K3:L4"/>
    <mergeCell ref="M3:N4"/>
  </mergeCells>
  <dataValidations count="1">
    <dataValidation type="decimal" allowBlank="1" showInputMessage="1" showErrorMessage="1" error="Ввведеное значение неверно" sqref="E41:N41 E15:N16 E9:N13 E49:N49 E35:N35 E18:N20 E38:N38 E26:N26 B34 E29:N29 B37 E23:N23 E45:N47 E32:N32 E53:N54 E56:N57 E59:N59">
      <formula1>-1000000000000000</formula1>
      <formula2>1000000000000000</formula2>
    </dataValidation>
  </dataValidations>
  <printOptions/>
  <pageMargins left="0.6299212598425197" right="0.1968503937007874" top="0.35433070866141736" bottom="0.31496062992125984" header="0.2362204724409449" footer="0.2362204724409449"/>
  <pageSetup fitToHeight="1" fitToWidth="1" horizontalDpi="600" verticalDpi="600" orientation="portrait" paperSize="9" scale="8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Q101"/>
  <sheetViews>
    <sheetView zoomScale="80" zoomScaleNormal="80" zoomScalePageLayoutView="0" workbookViewId="0" topLeftCell="A2">
      <pane xSplit="4" ySplit="6" topLeftCell="E8" activePane="bottomRight" state="frozen"/>
      <selection pane="topLeft" activeCell="F41" sqref="F41"/>
      <selection pane="topRight" activeCell="F41" sqref="F41"/>
      <selection pane="bottomLeft" activeCell="F41" sqref="F41"/>
      <selection pane="bottomRight" activeCell="E99" sqref="E99:I101"/>
    </sheetView>
  </sheetViews>
  <sheetFormatPr defaultColWidth="9.140625" defaultRowHeight="11.25"/>
  <cols>
    <col min="1" max="1" width="4.7109375" style="0" customWidth="1"/>
    <col min="2" max="2" width="40.7109375" style="0" customWidth="1"/>
    <col min="3" max="3" width="11.140625" style="0" hidden="1" customWidth="1"/>
    <col min="4" max="4" width="10.7109375" style="0" customWidth="1"/>
    <col min="5" max="5" width="16.8515625" style="0" customWidth="1"/>
    <col min="6" max="6" width="14.7109375" style="0" customWidth="1"/>
    <col min="7" max="7" width="17.28125" style="0" customWidth="1"/>
    <col min="8" max="13" width="14.7109375" style="0" customWidth="1"/>
    <col min="14" max="17" width="9.7109375" style="0" hidden="1" customWidth="1"/>
  </cols>
  <sheetData>
    <row r="1" spans="1:17" ht="12.75" hidden="1">
      <c r="A1" s="34" t="str">
        <f>Справочники!E13</f>
        <v>Мурманская область</v>
      </c>
      <c r="B1" s="241" t="str">
        <f>Справочники!D21</f>
        <v>МУП "Кировская горэлектросеть"</v>
      </c>
      <c r="Q1" s="2" t="s">
        <v>351</v>
      </c>
    </row>
    <row r="2" spans="1:17" ht="39.75" customHeight="1" thickBot="1">
      <c r="A2" s="153" t="s">
        <v>352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3"/>
    </row>
    <row r="3" spans="1:17" ht="17.25" customHeight="1">
      <c r="A3" s="771" t="s">
        <v>86</v>
      </c>
      <c r="B3" s="773" t="s">
        <v>25</v>
      </c>
      <c r="C3" s="773"/>
      <c r="D3" s="773" t="s">
        <v>145</v>
      </c>
      <c r="E3" s="773">
        <v>2013</v>
      </c>
      <c r="F3" s="773"/>
      <c r="G3" s="773">
        <v>2014</v>
      </c>
      <c r="H3" s="773"/>
      <c r="I3" s="773">
        <v>2015</v>
      </c>
      <c r="J3" s="773"/>
      <c r="K3" s="773"/>
      <c r="L3" s="773"/>
      <c r="M3" s="773"/>
      <c r="N3" s="773" t="str">
        <f>"Темп роста к 2010"</f>
        <v>Темп роста к 2010</v>
      </c>
      <c r="O3" s="773"/>
      <c r="P3" s="773" t="str">
        <f>"Темп роста к 2009"</f>
        <v>Темп роста к 2009</v>
      </c>
      <c r="Q3" s="778"/>
    </row>
    <row r="4" spans="1:17" ht="15" customHeight="1">
      <c r="A4" s="772"/>
      <c r="B4" s="774"/>
      <c r="C4" s="774"/>
      <c r="D4" s="774"/>
      <c r="E4" s="774"/>
      <c r="F4" s="774"/>
      <c r="G4" s="774"/>
      <c r="H4" s="774"/>
      <c r="I4" s="774" t="s">
        <v>87</v>
      </c>
      <c r="J4" s="774" t="s">
        <v>353</v>
      </c>
      <c r="K4" s="774"/>
      <c r="L4" s="774"/>
      <c r="M4" s="774"/>
      <c r="N4" s="774"/>
      <c r="O4" s="774"/>
      <c r="P4" s="774"/>
      <c r="Q4" s="875"/>
    </row>
    <row r="5" spans="1:17" ht="54" customHeight="1">
      <c r="A5" s="772"/>
      <c r="B5" s="774"/>
      <c r="C5" s="774"/>
      <c r="D5" s="774"/>
      <c r="E5" s="4" t="s">
        <v>1300</v>
      </c>
      <c r="F5" s="4" t="s">
        <v>147</v>
      </c>
      <c r="G5" s="4" t="s">
        <v>1300</v>
      </c>
      <c r="H5" s="254" t="s">
        <v>452</v>
      </c>
      <c r="I5" s="774"/>
      <c r="J5" s="4" t="s">
        <v>354</v>
      </c>
      <c r="K5" s="4" t="s">
        <v>355</v>
      </c>
      <c r="L5" s="4" t="s">
        <v>356</v>
      </c>
      <c r="M5" s="4" t="s">
        <v>357</v>
      </c>
      <c r="N5" s="254" t="s">
        <v>358</v>
      </c>
      <c r="O5" s="4" t="s">
        <v>149</v>
      </c>
      <c r="P5" s="254" t="s">
        <v>148</v>
      </c>
      <c r="Q5" s="8" t="s">
        <v>149</v>
      </c>
    </row>
    <row r="6" spans="1:17" ht="22.5" customHeight="1" hidden="1">
      <c r="A6" s="9"/>
      <c r="B6" s="4"/>
      <c r="C6" s="4"/>
      <c r="D6" s="4"/>
      <c r="E6" s="79" t="s">
        <v>82</v>
      </c>
      <c r="F6" s="79" t="s">
        <v>81</v>
      </c>
      <c r="G6" s="79" t="s">
        <v>82</v>
      </c>
      <c r="H6" s="79" t="s">
        <v>81</v>
      </c>
      <c r="I6" s="79" t="s">
        <v>82</v>
      </c>
      <c r="J6" s="79" t="s">
        <v>82</v>
      </c>
      <c r="K6" s="79" t="s">
        <v>82</v>
      </c>
      <c r="L6" s="79" t="s">
        <v>82</v>
      </c>
      <c r="M6" s="79" t="s">
        <v>82</v>
      </c>
      <c r="N6" s="79" t="s">
        <v>811</v>
      </c>
      <c r="O6" s="79" t="s">
        <v>812</v>
      </c>
      <c r="P6" s="79" t="s">
        <v>811</v>
      </c>
      <c r="Q6" s="80" t="s">
        <v>812</v>
      </c>
    </row>
    <row r="7" spans="1:17" ht="22.5" customHeight="1" hidden="1">
      <c r="A7" s="9"/>
      <c r="B7" s="4"/>
      <c r="C7" s="4"/>
      <c r="D7" s="4"/>
      <c r="E7" s="4">
        <v>2006</v>
      </c>
      <c r="F7" s="4">
        <v>2006</v>
      </c>
      <c r="G7" s="4">
        <v>2007</v>
      </c>
      <c r="H7" s="4">
        <v>2007</v>
      </c>
      <c r="I7" s="4">
        <v>2008</v>
      </c>
      <c r="J7" s="254" t="s">
        <v>813</v>
      </c>
      <c r="K7" s="254" t="s">
        <v>814</v>
      </c>
      <c r="L7" s="254" t="s">
        <v>815</v>
      </c>
      <c r="M7" s="254" t="s">
        <v>816</v>
      </c>
      <c r="N7" s="4">
        <v>2007</v>
      </c>
      <c r="O7" s="4">
        <v>2007</v>
      </c>
      <c r="P7" s="4">
        <v>2006</v>
      </c>
      <c r="Q7" s="8">
        <v>2006</v>
      </c>
    </row>
    <row r="8" spans="1:17" ht="22.5">
      <c r="A8" s="5" t="s">
        <v>36</v>
      </c>
      <c r="B8" s="90" t="s">
        <v>359</v>
      </c>
      <c r="C8" s="39" t="s">
        <v>38</v>
      </c>
      <c r="D8" s="57" t="s">
        <v>360</v>
      </c>
      <c r="E8" s="137">
        <f>SUM(E9:E12,E18:E21)</f>
        <v>13328</v>
      </c>
      <c r="F8" s="137">
        <f aca="true" t="shared" si="0" ref="F8:M8">SUM(F9:F12,F18:F21)</f>
        <v>20664.466</v>
      </c>
      <c r="G8" s="137">
        <f t="shared" si="0"/>
        <v>18731.84</v>
      </c>
      <c r="H8" s="137">
        <f t="shared" si="0"/>
        <v>20028.323</v>
      </c>
      <c r="I8" s="137">
        <f t="shared" si="0"/>
        <v>31056.839</v>
      </c>
      <c r="J8" s="137">
        <f t="shared" si="0"/>
        <v>31056.839</v>
      </c>
      <c r="K8" s="137">
        <f t="shared" si="0"/>
        <v>38372.089</v>
      </c>
      <c r="L8" s="137">
        <f t="shared" si="0"/>
        <v>38372.089</v>
      </c>
      <c r="M8" s="137">
        <f t="shared" si="0"/>
        <v>38372.089</v>
      </c>
      <c r="N8" s="137">
        <f aca="true" t="shared" si="1" ref="N8:N21">IF(G8=0,IF(I8=0,0,100),I8/G8*100)</f>
        <v>165.7970546406546</v>
      </c>
      <c r="O8" s="137">
        <f aca="true" t="shared" si="2" ref="O8:O21">IF(H8=0,IF(I8=0,0,100),I8/H8*100)</f>
        <v>155.06460026633283</v>
      </c>
      <c r="P8" s="137">
        <f aca="true" t="shared" si="3" ref="P8:P21">IF(E8=0,IF(I8=0,0,100),I8/E8*100)</f>
        <v>233.01950030012003</v>
      </c>
      <c r="Q8" s="138">
        <f aca="true" t="shared" si="4" ref="Q8:Q21">IF(F8=0,IF(I8=0,0,100),I8/F8*100)</f>
        <v>150.29103099010638</v>
      </c>
    </row>
    <row r="9" spans="1:17" ht="11.25">
      <c r="A9" s="5"/>
      <c r="B9" s="90" t="s">
        <v>361</v>
      </c>
      <c r="C9" s="39" t="s">
        <v>41</v>
      </c>
      <c r="D9" s="57" t="s">
        <v>360</v>
      </c>
      <c r="E9" s="689">
        <v>678</v>
      </c>
      <c r="F9" s="390">
        <v>724.47</v>
      </c>
      <c r="G9" s="689">
        <v>538.46</v>
      </c>
      <c r="H9" s="390">
        <v>223.4</v>
      </c>
      <c r="I9" s="137">
        <f>J9</f>
        <v>334.92</v>
      </c>
      <c r="J9" s="390">
        <v>334.92</v>
      </c>
      <c r="K9" s="137">
        <f aca="true" t="shared" si="5" ref="K9:M11">J9+J24-J39</f>
        <v>334.92</v>
      </c>
      <c r="L9" s="137">
        <f t="shared" si="5"/>
        <v>334.92</v>
      </c>
      <c r="M9" s="137">
        <f t="shared" si="5"/>
        <v>334.92</v>
      </c>
      <c r="N9" s="137">
        <f t="shared" si="1"/>
        <v>62.19960628458938</v>
      </c>
      <c r="O9" s="137">
        <f t="shared" si="2"/>
        <v>149.91942703670546</v>
      </c>
      <c r="P9" s="137">
        <f t="shared" si="3"/>
        <v>49.39823008849557</v>
      </c>
      <c r="Q9" s="138">
        <f t="shared" si="4"/>
        <v>46.22965754275539</v>
      </c>
    </row>
    <row r="10" spans="1:17" ht="11.25">
      <c r="A10" s="5"/>
      <c r="B10" s="90" t="s">
        <v>362</v>
      </c>
      <c r="C10" s="39" t="s">
        <v>44</v>
      </c>
      <c r="D10" s="57" t="s">
        <v>360</v>
      </c>
      <c r="E10" s="689">
        <v>5988.66</v>
      </c>
      <c r="F10" s="390">
        <v>9967.962</v>
      </c>
      <c r="G10" s="689">
        <v>8337.24</v>
      </c>
      <c r="H10" s="390">
        <v>11626.167</v>
      </c>
      <c r="I10" s="137">
        <f>J10</f>
        <v>16043.932</v>
      </c>
      <c r="J10" s="390">
        <v>16043.932</v>
      </c>
      <c r="K10" s="137">
        <f t="shared" si="5"/>
        <v>23359.182</v>
      </c>
      <c r="L10" s="137">
        <f t="shared" si="5"/>
        <v>23359.182</v>
      </c>
      <c r="M10" s="137">
        <f t="shared" si="5"/>
        <v>23359.182</v>
      </c>
      <c r="N10" s="137">
        <f t="shared" si="1"/>
        <v>192.4369695486756</v>
      </c>
      <c r="O10" s="137">
        <f t="shared" si="2"/>
        <v>137.9984650143078</v>
      </c>
      <c r="P10" s="137">
        <f t="shared" si="3"/>
        <v>267.90520750885844</v>
      </c>
      <c r="Q10" s="138">
        <f t="shared" si="4"/>
        <v>160.9549875892384</v>
      </c>
    </row>
    <row r="11" spans="1:17" ht="11.25">
      <c r="A11" s="5"/>
      <c r="B11" s="90" t="s">
        <v>363</v>
      </c>
      <c r="C11" s="39" t="s">
        <v>47</v>
      </c>
      <c r="D11" s="57" t="s">
        <v>360</v>
      </c>
      <c r="E11" s="689">
        <v>3829.26</v>
      </c>
      <c r="F11" s="390"/>
      <c r="G11" s="689">
        <v>3940.09</v>
      </c>
      <c r="H11" s="390"/>
      <c r="I11" s="137">
        <f>J11</f>
        <v>0</v>
      </c>
      <c r="J11" s="390"/>
      <c r="K11" s="137">
        <f t="shared" si="5"/>
        <v>0</v>
      </c>
      <c r="L11" s="137">
        <f t="shared" si="5"/>
        <v>0</v>
      </c>
      <c r="M11" s="137">
        <f t="shared" si="5"/>
        <v>0</v>
      </c>
      <c r="N11" s="137">
        <f t="shared" si="1"/>
        <v>0</v>
      </c>
      <c r="O11" s="137">
        <f t="shared" si="2"/>
        <v>0</v>
      </c>
      <c r="P11" s="137">
        <f t="shared" si="3"/>
        <v>0</v>
      </c>
      <c r="Q11" s="138">
        <f t="shared" si="4"/>
        <v>0</v>
      </c>
    </row>
    <row r="12" spans="1:17" ht="11.25">
      <c r="A12" s="5"/>
      <c r="B12" s="90" t="s">
        <v>364</v>
      </c>
      <c r="C12" s="39" t="s">
        <v>50</v>
      </c>
      <c r="D12" s="57" t="s">
        <v>360</v>
      </c>
      <c r="E12" s="137">
        <f>SUM(E13:E17)</f>
        <v>2402.08</v>
      </c>
      <c r="F12" s="137">
        <f>SUM(F13:F17)</f>
        <v>7477.064</v>
      </c>
      <c r="G12" s="137">
        <f>SUM(G13:G17)</f>
        <v>2323.58</v>
      </c>
      <c r="H12" s="137">
        <f>SUM(H13:H17)</f>
        <v>6548.107</v>
      </c>
      <c r="I12" s="137">
        <f>J12</f>
        <v>13477.81</v>
      </c>
      <c r="J12" s="390">
        <v>13477.81</v>
      </c>
      <c r="K12" s="137">
        <f>J12+J27-J42</f>
        <v>13477.81</v>
      </c>
      <c r="L12" s="137">
        <f>K12+K27-K42</f>
        <v>13477.81</v>
      </c>
      <c r="M12" s="137">
        <f>L12+L27-L42</f>
        <v>13477.81</v>
      </c>
      <c r="N12" s="137">
        <f>IF(G12=0,IF(I12=0,0,100),I12/G12*100)</f>
        <v>580.0450167414077</v>
      </c>
      <c r="O12" s="137">
        <f>IF(H12=0,IF(I12=0,0,100),I12/H12*100)</f>
        <v>205.82757734410876</v>
      </c>
      <c r="P12" s="137">
        <f>IF(E12=0,IF(I12=0,0,100),I12/E12*100)</f>
        <v>561.0891394125091</v>
      </c>
      <c r="Q12" s="138">
        <f>IF(F12=0,IF(I12=0,0,100),I12/F12*100)</f>
        <v>180.2553783142688</v>
      </c>
    </row>
    <row r="13" spans="1:17" ht="11.25">
      <c r="A13" s="5"/>
      <c r="B13" s="90" t="s">
        <v>365</v>
      </c>
      <c r="C13" s="39" t="s">
        <v>53</v>
      </c>
      <c r="D13" s="57" t="s">
        <v>360</v>
      </c>
      <c r="E13" s="689"/>
      <c r="F13" s="390">
        <v>7182.428</v>
      </c>
      <c r="G13" s="689"/>
      <c r="H13" s="390">
        <v>6546.061</v>
      </c>
      <c r="I13" s="137">
        <f aca="true" t="shared" si="6" ref="I13:I21">J13</f>
        <v>13477.81</v>
      </c>
      <c r="J13" s="390">
        <v>13477.81</v>
      </c>
      <c r="K13" s="137">
        <f aca="true" t="shared" si="7" ref="K13:M21">J13+J28-J43</f>
        <v>13477.81</v>
      </c>
      <c r="L13" s="137">
        <f t="shared" si="7"/>
        <v>13477.81</v>
      </c>
      <c r="M13" s="137">
        <f t="shared" si="7"/>
        <v>13477.81</v>
      </c>
      <c r="N13" s="137">
        <f t="shared" si="1"/>
        <v>100</v>
      </c>
      <c r="O13" s="137">
        <f t="shared" si="2"/>
        <v>205.89190965375974</v>
      </c>
      <c r="P13" s="137">
        <f t="shared" si="3"/>
        <v>100</v>
      </c>
      <c r="Q13" s="138">
        <f t="shared" si="4"/>
        <v>187.6497752570579</v>
      </c>
    </row>
    <row r="14" spans="1:17" ht="11.25">
      <c r="A14" s="5"/>
      <c r="B14" s="90" t="s">
        <v>366</v>
      </c>
      <c r="C14" s="39" t="s">
        <v>817</v>
      </c>
      <c r="D14" s="57" t="s">
        <v>360</v>
      </c>
      <c r="E14" s="689">
        <v>2362.08</v>
      </c>
      <c r="F14" s="390"/>
      <c r="G14" s="689">
        <v>2323.58</v>
      </c>
      <c r="H14" s="390"/>
      <c r="I14" s="137">
        <f t="shared" si="6"/>
        <v>0</v>
      </c>
      <c r="J14" s="390"/>
      <c r="K14" s="137">
        <f t="shared" si="7"/>
        <v>0</v>
      </c>
      <c r="L14" s="137">
        <f t="shared" si="7"/>
        <v>0</v>
      </c>
      <c r="M14" s="137">
        <f t="shared" si="7"/>
        <v>0</v>
      </c>
      <c r="N14" s="137">
        <f t="shared" si="1"/>
        <v>0</v>
      </c>
      <c r="O14" s="137">
        <f t="shared" si="2"/>
        <v>0</v>
      </c>
      <c r="P14" s="137">
        <f t="shared" si="3"/>
        <v>0</v>
      </c>
      <c r="Q14" s="138">
        <f t="shared" si="4"/>
        <v>0</v>
      </c>
    </row>
    <row r="15" spans="1:17" ht="11.25">
      <c r="A15" s="5"/>
      <c r="B15" s="90" t="s">
        <v>367</v>
      </c>
      <c r="C15" s="39" t="s">
        <v>818</v>
      </c>
      <c r="D15" s="57" t="s">
        <v>360</v>
      </c>
      <c r="E15" s="689"/>
      <c r="F15" s="390"/>
      <c r="G15" s="689"/>
      <c r="H15" s="390"/>
      <c r="I15" s="137">
        <f t="shared" si="6"/>
        <v>0</v>
      </c>
      <c r="J15" s="390"/>
      <c r="K15" s="137">
        <f t="shared" si="7"/>
        <v>0</v>
      </c>
      <c r="L15" s="137">
        <f t="shared" si="7"/>
        <v>0</v>
      </c>
      <c r="M15" s="137">
        <f t="shared" si="7"/>
        <v>0</v>
      </c>
      <c r="N15" s="137">
        <f t="shared" si="1"/>
        <v>0</v>
      </c>
      <c r="O15" s="137">
        <f t="shared" si="2"/>
        <v>0</v>
      </c>
      <c r="P15" s="137">
        <f t="shared" si="3"/>
        <v>0</v>
      </c>
      <c r="Q15" s="138">
        <f t="shared" si="4"/>
        <v>0</v>
      </c>
    </row>
    <row r="16" spans="1:17" ht="11.25">
      <c r="A16" s="5"/>
      <c r="B16" s="90" t="s">
        <v>368</v>
      </c>
      <c r="C16" s="39" t="s">
        <v>819</v>
      </c>
      <c r="D16" s="57" t="s">
        <v>360</v>
      </c>
      <c r="E16" s="689">
        <v>40</v>
      </c>
      <c r="F16" s="390">
        <v>294.636</v>
      </c>
      <c r="G16" s="689"/>
      <c r="H16" s="390">
        <v>2.046</v>
      </c>
      <c r="I16" s="137">
        <f t="shared" si="6"/>
        <v>0</v>
      </c>
      <c r="J16" s="390"/>
      <c r="K16" s="137">
        <f t="shared" si="7"/>
        <v>0</v>
      </c>
      <c r="L16" s="137">
        <f t="shared" si="7"/>
        <v>0</v>
      </c>
      <c r="M16" s="137">
        <f t="shared" si="7"/>
        <v>0</v>
      </c>
      <c r="N16" s="137">
        <f t="shared" si="1"/>
        <v>0</v>
      </c>
      <c r="O16" s="137">
        <f t="shared" si="2"/>
        <v>0</v>
      </c>
      <c r="P16" s="137">
        <f t="shared" si="3"/>
        <v>0</v>
      </c>
      <c r="Q16" s="138">
        <f t="shared" si="4"/>
        <v>0</v>
      </c>
    </row>
    <row r="17" spans="1:17" ht="11.25">
      <c r="A17" s="5"/>
      <c r="B17" s="90" t="s">
        <v>369</v>
      </c>
      <c r="C17" s="39" t="s">
        <v>820</v>
      </c>
      <c r="D17" s="57" t="s">
        <v>360</v>
      </c>
      <c r="E17" s="689"/>
      <c r="F17" s="390"/>
      <c r="G17" s="689"/>
      <c r="H17" s="390"/>
      <c r="I17" s="137">
        <f t="shared" si="6"/>
        <v>0</v>
      </c>
      <c r="J17" s="390"/>
      <c r="K17" s="137">
        <f t="shared" si="7"/>
        <v>0</v>
      </c>
      <c r="L17" s="137">
        <f t="shared" si="7"/>
        <v>0</v>
      </c>
      <c r="M17" s="137">
        <f t="shared" si="7"/>
        <v>0</v>
      </c>
      <c r="N17" s="137">
        <f t="shared" si="1"/>
        <v>0</v>
      </c>
      <c r="O17" s="137">
        <f t="shared" si="2"/>
        <v>0</v>
      </c>
      <c r="P17" s="137">
        <f t="shared" si="3"/>
        <v>0</v>
      </c>
      <c r="Q17" s="138">
        <f t="shared" si="4"/>
        <v>0</v>
      </c>
    </row>
    <row r="18" spans="1:17" ht="11.25">
      <c r="A18" s="5"/>
      <c r="B18" s="90" t="s">
        <v>370</v>
      </c>
      <c r="C18" s="39" t="s">
        <v>56</v>
      </c>
      <c r="D18" s="57" t="s">
        <v>360</v>
      </c>
      <c r="E18" s="689">
        <v>430</v>
      </c>
      <c r="F18" s="390">
        <v>2494.97</v>
      </c>
      <c r="G18" s="689">
        <v>3592.47</v>
      </c>
      <c r="H18" s="390">
        <v>1630.649</v>
      </c>
      <c r="I18" s="137">
        <f t="shared" si="6"/>
        <v>1200.177</v>
      </c>
      <c r="J18" s="390">
        <v>1200.177</v>
      </c>
      <c r="K18" s="137">
        <f t="shared" si="7"/>
        <v>1200.177</v>
      </c>
      <c r="L18" s="137">
        <f t="shared" si="7"/>
        <v>1200.177</v>
      </c>
      <c r="M18" s="137">
        <f t="shared" si="7"/>
        <v>1200.177</v>
      </c>
      <c r="N18" s="137">
        <f t="shared" si="1"/>
        <v>33.408128669132935</v>
      </c>
      <c r="O18" s="137">
        <f t="shared" si="2"/>
        <v>73.60118578553693</v>
      </c>
      <c r="P18" s="137">
        <f t="shared" si="3"/>
        <v>279.11093023255813</v>
      </c>
      <c r="Q18" s="138">
        <f t="shared" si="4"/>
        <v>48.10386497633238</v>
      </c>
    </row>
    <row r="19" spans="1:17" ht="11.25">
      <c r="A19" s="5"/>
      <c r="B19" s="90" t="s">
        <v>371</v>
      </c>
      <c r="C19" s="39" t="s">
        <v>59</v>
      </c>
      <c r="D19" s="57" t="s">
        <v>360</v>
      </c>
      <c r="E19" s="390"/>
      <c r="F19" s="390"/>
      <c r="G19" s="390"/>
      <c r="H19" s="390"/>
      <c r="I19" s="137">
        <f t="shared" si="6"/>
        <v>0</v>
      </c>
      <c r="J19" s="390"/>
      <c r="K19" s="137">
        <f t="shared" si="7"/>
        <v>0</v>
      </c>
      <c r="L19" s="137">
        <f t="shared" si="7"/>
        <v>0</v>
      </c>
      <c r="M19" s="137">
        <f t="shared" si="7"/>
        <v>0</v>
      </c>
      <c r="N19" s="137">
        <f t="shared" si="1"/>
        <v>0</v>
      </c>
      <c r="O19" s="137">
        <f t="shared" si="2"/>
        <v>0</v>
      </c>
      <c r="P19" s="137">
        <f t="shared" si="3"/>
        <v>0</v>
      </c>
      <c r="Q19" s="138">
        <f t="shared" si="4"/>
        <v>0</v>
      </c>
    </row>
    <row r="20" spans="1:17" ht="11.25">
      <c r="A20" s="5"/>
      <c r="B20" s="90" t="s">
        <v>372</v>
      </c>
      <c r="C20" s="39" t="s">
        <v>62</v>
      </c>
      <c r="D20" s="57" t="s">
        <v>360</v>
      </c>
      <c r="E20" s="390"/>
      <c r="F20" s="390"/>
      <c r="G20" s="390"/>
      <c r="H20" s="390"/>
      <c r="I20" s="137">
        <f t="shared" si="6"/>
        <v>0</v>
      </c>
      <c r="J20" s="390"/>
      <c r="K20" s="137">
        <f t="shared" si="7"/>
        <v>0</v>
      </c>
      <c r="L20" s="137">
        <f t="shared" si="7"/>
        <v>0</v>
      </c>
      <c r="M20" s="137">
        <f t="shared" si="7"/>
        <v>0</v>
      </c>
      <c r="N20" s="137">
        <f t="shared" si="1"/>
        <v>0</v>
      </c>
      <c r="O20" s="137">
        <f t="shared" si="2"/>
        <v>0</v>
      </c>
      <c r="P20" s="137">
        <f t="shared" si="3"/>
        <v>0</v>
      </c>
      <c r="Q20" s="138">
        <f t="shared" si="4"/>
        <v>0</v>
      </c>
    </row>
    <row r="21" spans="1:17" ht="11.25">
      <c r="A21" s="5"/>
      <c r="B21" s="90" t="s">
        <v>373</v>
      </c>
      <c r="C21" s="39" t="s">
        <v>65</v>
      </c>
      <c r="D21" s="57" t="s">
        <v>360</v>
      </c>
      <c r="E21" s="390"/>
      <c r="F21" s="390"/>
      <c r="G21" s="390"/>
      <c r="H21" s="390"/>
      <c r="I21" s="137">
        <f t="shared" si="6"/>
        <v>0</v>
      </c>
      <c r="J21" s="390"/>
      <c r="K21" s="137">
        <f t="shared" si="7"/>
        <v>0</v>
      </c>
      <c r="L21" s="137">
        <f t="shared" si="7"/>
        <v>0</v>
      </c>
      <c r="M21" s="137">
        <f t="shared" si="7"/>
        <v>0</v>
      </c>
      <c r="N21" s="137">
        <f t="shared" si="1"/>
        <v>0</v>
      </c>
      <c r="O21" s="137">
        <f t="shared" si="2"/>
        <v>0</v>
      </c>
      <c r="P21" s="137">
        <f t="shared" si="3"/>
        <v>0</v>
      </c>
      <c r="Q21" s="138">
        <f t="shared" si="4"/>
        <v>0</v>
      </c>
    </row>
    <row r="22" spans="1:17" ht="11.25">
      <c r="A22" s="5"/>
      <c r="B22" s="90"/>
      <c r="C22" s="39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8"/>
    </row>
    <row r="23" spans="1:17" ht="22.5" customHeight="1">
      <c r="A23" s="5" t="s">
        <v>69</v>
      </c>
      <c r="B23" s="90" t="s">
        <v>374</v>
      </c>
      <c r="C23" s="39" t="s">
        <v>71</v>
      </c>
      <c r="D23" s="57" t="s">
        <v>360</v>
      </c>
      <c r="E23" s="137">
        <f>SUM(E24:E27,E33:E36)</f>
        <v>53</v>
      </c>
      <c r="F23" s="137">
        <f aca="true" t="shared" si="8" ref="F23:M23">SUM(F24:F27,F33:F36)</f>
        <v>9594.195999999998</v>
      </c>
      <c r="G23" s="137">
        <f t="shared" si="8"/>
        <v>0</v>
      </c>
      <c r="H23" s="137">
        <f t="shared" si="8"/>
        <v>9626.962</v>
      </c>
      <c r="I23" s="137">
        <f t="shared" si="8"/>
        <v>7315.25</v>
      </c>
      <c r="J23" s="137">
        <f t="shared" si="8"/>
        <v>7315.25</v>
      </c>
      <c r="K23" s="137">
        <f t="shared" si="8"/>
        <v>0</v>
      </c>
      <c r="L23" s="137">
        <f t="shared" si="8"/>
        <v>0</v>
      </c>
      <c r="M23" s="137">
        <f t="shared" si="8"/>
        <v>0</v>
      </c>
      <c r="N23" s="137">
        <f aca="true" t="shared" si="9" ref="N23:N36">IF(G23=0,IF(I23=0,0,100),I23/G23*100)</f>
        <v>100</v>
      </c>
      <c r="O23" s="137">
        <f aca="true" t="shared" si="10" ref="O23:O36">IF(H23=0,IF(I23=0,0,100),I23/H23*100)</f>
        <v>75.98710787473763</v>
      </c>
      <c r="P23" s="137">
        <f aca="true" t="shared" si="11" ref="P23:P36">IF(E23=0,IF(I23=0,0,100),I23/E23*100)</f>
        <v>13802.35849056604</v>
      </c>
      <c r="Q23" s="138">
        <f aca="true" t="shared" si="12" ref="Q23:Q36">IF(F23=0,IF(I23=0,0,100),I23/F23*100)</f>
        <v>76.24661826796118</v>
      </c>
    </row>
    <row r="24" spans="1:17" ht="11.25">
      <c r="A24" s="5"/>
      <c r="B24" s="90" t="s">
        <v>375</v>
      </c>
      <c r="C24" s="39" t="s">
        <v>74</v>
      </c>
      <c r="D24" s="57" t="s">
        <v>360</v>
      </c>
      <c r="E24" s="390"/>
      <c r="F24" s="390"/>
      <c r="G24" s="390"/>
      <c r="H24" s="390">
        <v>125.225</v>
      </c>
      <c r="I24" s="137">
        <f>SUM(J24:M24)</f>
        <v>0</v>
      </c>
      <c r="J24" s="390"/>
      <c r="K24" s="390"/>
      <c r="L24" s="390"/>
      <c r="M24" s="390"/>
      <c r="N24" s="137">
        <f t="shared" si="9"/>
        <v>0</v>
      </c>
      <c r="O24" s="137">
        <f t="shared" si="10"/>
        <v>0</v>
      </c>
      <c r="P24" s="137">
        <f t="shared" si="11"/>
        <v>0</v>
      </c>
      <c r="Q24" s="138">
        <f t="shared" si="12"/>
        <v>0</v>
      </c>
    </row>
    <row r="25" spans="1:17" ht="11.25">
      <c r="A25" s="5"/>
      <c r="B25" s="90" t="s">
        <v>376</v>
      </c>
      <c r="C25" s="39" t="s">
        <v>787</v>
      </c>
      <c r="D25" s="57" t="s">
        <v>360</v>
      </c>
      <c r="E25" s="390"/>
      <c r="F25" s="390">
        <v>4242.053</v>
      </c>
      <c r="G25" s="390"/>
      <c r="H25" s="390">
        <v>5912.737</v>
      </c>
      <c r="I25" s="137">
        <f>SUM(J25:M25)</f>
        <v>7315.25</v>
      </c>
      <c r="J25" s="390">
        <v>7315.25</v>
      </c>
      <c r="K25" s="390"/>
      <c r="L25" s="390"/>
      <c r="M25" s="390"/>
      <c r="N25" s="137">
        <f t="shared" si="9"/>
        <v>100</v>
      </c>
      <c r="O25" s="137">
        <f t="shared" si="10"/>
        <v>123.72019929180004</v>
      </c>
      <c r="P25" s="137">
        <f t="shared" si="11"/>
        <v>100</v>
      </c>
      <c r="Q25" s="138">
        <f t="shared" si="12"/>
        <v>172.44598311242223</v>
      </c>
    </row>
    <row r="26" spans="1:17" ht="11.25">
      <c r="A26" s="5"/>
      <c r="B26" s="90" t="s">
        <v>377</v>
      </c>
      <c r="C26" s="39" t="s">
        <v>788</v>
      </c>
      <c r="D26" s="57" t="s">
        <v>360</v>
      </c>
      <c r="E26" s="390"/>
      <c r="F26" s="390"/>
      <c r="G26" s="390"/>
      <c r="H26" s="390"/>
      <c r="I26" s="137">
        <f>SUM(J26:M26)</f>
        <v>0</v>
      </c>
      <c r="J26" s="390"/>
      <c r="K26" s="390"/>
      <c r="L26" s="390"/>
      <c r="M26" s="390"/>
      <c r="N26" s="137">
        <f t="shared" si="9"/>
        <v>0</v>
      </c>
      <c r="O26" s="137">
        <f t="shared" si="10"/>
        <v>0</v>
      </c>
      <c r="P26" s="137">
        <f t="shared" si="11"/>
        <v>0</v>
      </c>
      <c r="Q26" s="138">
        <f t="shared" si="12"/>
        <v>0</v>
      </c>
    </row>
    <row r="27" spans="1:17" ht="11.25">
      <c r="A27" s="5"/>
      <c r="B27" s="90" t="s">
        <v>378</v>
      </c>
      <c r="C27" s="39" t="s">
        <v>791</v>
      </c>
      <c r="D27" s="57" t="s">
        <v>360</v>
      </c>
      <c r="E27" s="137">
        <f>SUM(E28:E32)</f>
        <v>53</v>
      </c>
      <c r="F27" s="137">
        <f aca="true" t="shared" si="13" ref="F27:M27">SUM(F28:F32)</f>
        <v>4558.923</v>
      </c>
      <c r="G27" s="137">
        <f t="shared" si="13"/>
        <v>0</v>
      </c>
      <c r="H27" s="137">
        <f t="shared" si="13"/>
        <v>3589</v>
      </c>
      <c r="I27" s="137">
        <f t="shared" si="13"/>
        <v>0</v>
      </c>
      <c r="J27" s="137">
        <f t="shared" si="13"/>
        <v>0</v>
      </c>
      <c r="K27" s="137">
        <f t="shared" si="13"/>
        <v>0</v>
      </c>
      <c r="L27" s="137">
        <f t="shared" si="13"/>
        <v>0</v>
      </c>
      <c r="M27" s="137">
        <f t="shared" si="13"/>
        <v>0</v>
      </c>
      <c r="N27" s="137">
        <f t="shared" si="9"/>
        <v>0</v>
      </c>
      <c r="O27" s="137">
        <f t="shared" si="10"/>
        <v>0</v>
      </c>
      <c r="P27" s="137">
        <f t="shared" si="11"/>
        <v>0</v>
      </c>
      <c r="Q27" s="138">
        <f t="shared" si="12"/>
        <v>0</v>
      </c>
    </row>
    <row r="28" spans="1:17" ht="11.25">
      <c r="A28" s="5"/>
      <c r="B28" s="90" t="s">
        <v>379</v>
      </c>
      <c r="C28" s="39" t="s">
        <v>789</v>
      </c>
      <c r="D28" s="57" t="s">
        <v>360</v>
      </c>
      <c r="E28" s="390"/>
      <c r="F28" s="390">
        <v>4558.923</v>
      </c>
      <c r="G28" s="390"/>
      <c r="H28" s="390">
        <v>3589</v>
      </c>
      <c r="I28" s="137">
        <f aca="true" t="shared" si="14" ref="I28:I36">SUM(J28:M28)</f>
        <v>0</v>
      </c>
      <c r="J28" s="390"/>
      <c r="K28" s="390"/>
      <c r="L28" s="390"/>
      <c r="M28" s="390"/>
      <c r="N28" s="137">
        <f t="shared" si="9"/>
        <v>0</v>
      </c>
      <c r="O28" s="137">
        <f t="shared" si="10"/>
        <v>0</v>
      </c>
      <c r="P28" s="137">
        <f t="shared" si="11"/>
        <v>0</v>
      </c>
      <c r="Q28" s="138">
        <f t="shared" si="12"/>
        <v>0</v>
      </c>
    </row>
    <row r="29" spans="1:17" ht="11.25">
      <c r="A29" s="5"/>
      <c r="B29" s="90" t="s">
        <v>366</v>
      </c>
      <c r="C29" s="39" t="s">
        <v>792</v>
      </c>
      <c r="D29" s="57" t="s">
        <v>360</v>
      </c>
      <c r="E29" s="390"/>
      <c r="F29" s="390"/>
      <c r="G29" s="390"/>
      <c r="H29" s="390"/>
      <c r="I29" s="137">
        <f t="shared" si="14"/>
        <v>0</v>
      </c>
      <c r="J29" s="390"/>
      <c r="K29" s="390"/>
      <c r="L29" s="390"/>
      <c r="M29" s="390"/>
      <c r="N29" s="137">
        <f t="shared" si="9"/>
        <v>0</v>
      </c>
      <c r="O29" s="137">
        <f t="shared" si="10"/>
        <v>0</v>
      </c>
      <c r="P29" s="137">
        <f t="shared" si="11"/>
        <v>0</v>
      </c>
      <c r="Q29" s="138">
        <f t="shared" si="12"/>
        <v>0</v>
      </c>
    </row>
    <row r="30" spans="1:17" ht="11.25">
      <c r="A30" s="5"/>
      <c r="B30" s="90" t="s">
        <v>367</v>
      </c>
      <c r="C30" s="39" t="s">
        <v>793</v>
      </c>
      <c r="D30" s="57" t="s">
        <v>360</v>
      </c>
      <c r="E30" s="390"/>
      <c r="F30" s="390"/>
      <c r="G30" s="390"/>
      <c r="H30" s="390"/>
      <c r="I30" s="137">
        <f t="shared" si="14"/>
        <v>0</v>
      </c>
      <c r="J30" s="390"/>
      <c r="K30" s="390"/>
      <c r="L30" s="390"/>
      <c r="M30" s="390"/>
      <c r="N30" s="137">
        <f t="shared" si="9"/>
        <v>0</v>
      </c>
      <c r="O30" s="137">
        <f t="shared" si="10"/>
        <v>0</v>
      </c>
      <c r="P30" s="137">
        <f t="shared" si="11"/>
        <v>0</v>
      </c>
      <c r="Q30" s="138">
        <f t="shared" si="12"/>
        <v>0</v>
      </c>
    </row>
    <row r="31" spans="1:17" ht="11.25">
      <c r="A31" s="5"/>
      <c r="B31" s="90" t="s">
        <v>368</v>
      </c>
      <c r="C31" s="39" t="s">
        <v>821</v>
      </c>
      <c r="D31" s="57" t="s">
        <v>360</v>
      </c>
      <c r="E31" s="390">
        <v>53</v>
      </c>
      <c r="F31" s="390"/>
      <c r="G31" s="390"/>
      <c r="H31" s="390"/>
      <c r="I31" s="137">
        <f t="shared" si="14"/>
        <v>0</v>
      </c>
      <c r="J31" s="390"/>
      <c r="K31" s="390"/>
      <c r="L31" s="390"/>
      <c r="M31" s="390"/>
      <c r="N31" s="137">
        <f t="shared" si="9"/>
        <v>0</v>
      </c>
      <c r="O31" s="137">
        <f t="shared" si="10"/>
        <v>0</v>
      </c>
      <c r="P31" s="137">
        <f t="shared" si="11"/>
        <v>0</v>
      </c>
      <c r="Q31" s="138">
        <f t="shared" si="12"/>
        <v>0</v>
      </c>
    </row>
    <row r="32" spans="1:17" ht="11.25">
      <c r="A32" s="5"/>
      <c r="B32" s="90" t="s">
        <v>369</v>
      </c>
      <c r="C32" s="39" t="s">
        <v>822</v>
      </c>
      <c r="D32" s="57" t="s">
        <v>360</v>
      </c>
      <c r="E32" s="390"/>
      <c r="F32" s="390"/>
      <c r="G32" s="390"/>
      <c r="H32" s="390"/>
      <c r="I32" s="137">
        <f t="shared" si="14"/>
        <v>0</v>
      </c>
      <c r="J32" s="390"/>
      <c r="K32" s="390"/>
      <c r="L32" s="390"/>
      <c r="M32" s="390"/>
      <c r="N32" s="137">
        <f t="shared" si="9"/>
        <v>0</v>
      </c>
      <c r="O32" s="137">
        <f t="shared" si="10"/>
        <v>0</v>
      </c>
      <c r="P32" s="137">
        <f t="shared" si="11"/>
        <v>0</v>
      </c>
      <c r="Q32" s="138">
        <f t="shared" si="12"/>
        <v>0</v>
      </c>
    </row>
    <row r="33" spans="1:17" ht="11.25">
      <c r="A33" s="5"/>
      <c r="B33" s="90" t="s">
        <v>370</v>
      </c>
      <c r="C33" s="39" t="s">
        <v>794</v>
      </c>
      <c r="D33" s="57" t="s">
        <v>360</v>
      </c>
      <c r="E33" s="390"/>
      <c r="F33" s="390">
        <v>793.22</v>
      </c>
      <c r="G33" s="390"/>
      <c r="H33" s="390"/>
      <c r="I33" s="137">
        <f t="shared" si="14"/>
        <v>0</v>
      </c>
      <c r="J33" s="390"/>
      <c r="K33" s="390"/>
      <c r="L33" s="390"/>
      <c r="M33" s="390"/>
      <c r="N33" s="137">
        <f t="shared" si="9"/>
        <v>0</v>
      </c>
      <c r="O33" s="137">
        <f t="shared" si="10"/>
        <v>0</v>
      </c>
      <c r="P33" s="137">
        <f t="shared" si="11"/>
        <v>0</v>
      </c>
      <c r="Q33" s="138">
        <f t="shared" si="12"/>
        <v>0</v>
      </c>
    </row>
    <row r="34" spans="1:17" ht="11.25">
      <c r="A34" s="5"/>
      <c r="B34" s="90" t="s">
        <v>371</v>
      </c>
      <c r="C34" s="39" t="s">
        <v>797</v>
      </c>
      <c r="D34" s="57" t="s">
        <v>360</v>
      </c>
      <c r="E34" s="390"/>
      <c r="F34" s="390"/>
      <c r="G34" s="390"/>
      <c r="H34" s="390"/>
      <c r="I34" s="137">
        <f t="shared" si="14"/>
        <v>0</v>
      </c>
      <c r="J34" s="390"/>
      <c r="K34" s="390"/>
      <c r="L34" s="390"/>
      <c r="M34" s="390"/>
      <c r="N34" s="137">
        <f t="shared" si="9"/>
        <v>0</v>
      </c>
      <c r="O34" s="137">
        <f t="shared" si="10"/>
        <v>0</v>
      </c>
      <c r="P34" s="137">
        <f t="shared" si="11"/>
        <v>0</v>
      </c>
      <c r="Q34" s="138">
        <f t="shared" si="12"/>
        <v>0</v>
      </c>
    </row>
    <row r="35" spans="1:17" ht="11.25">
      <c r="A35" s="5"/>
      <c r="B35" s="90" t="s">
        <v>372</v>
      </c>
      <c r="C35" s="39" t="s">
        <v>823</v>
      </c>
      <c r="D35" s="57" t="s">
        <v>360</v>
      </c>
      <c r="E35" s="390"/>
      <c r="F35" s="390"/>
      <c r="G35" s="390"/>
      <c r="H35" s="390"/>
      <c r="I35" s="137">
        <f t="shared" si="14"/>
        <v>0</v>
      </c>
      <c r="J35" s="390"/>
      <c r="K35" s="390"/>
      <c r="L35" s="390"/>
      <c r="M35" s="390"/>
      <c r="N35" s="137">
        <f t="shared" si="9"/>
        <v>0</v>
      </c>
      <c r="O35" s="137">
        <f t="shared" si="10"/>
        <v>0</v>
      </c>
      <c r="P35" s="137">
        <f t="shared" si="11"/>
        <v>0</v>
      </c>
      <c r="Q35" s="138">
        <f t="shared" si="12"/>
        <v>0</v>
      </c>
    </row>
    <row r="36" spans="1:17" ht="11.25">
      <c r="A36" s="5"/>
      <c r="B36" s="90" t="s">
        <v>373</v>
      </c>
      <c r="C36" s="39" t="s">
        <v>824</v>
      </c>
      <c r="D36" s="57" t="s">
        <v>360</v>
      </c>
      <c r="E36" s="390"/>
      <c r="F36" s="390"/>
      <c r="G36" s="390"/>
      <c r="H36" s="390"/>
      <c r="I36" s="137">
        <f t="shared" si="14"/>
        <v>0</v>
      </c>
      <c r="J36" s="390"/>
      <c r="K36" s="390"/>
      <c r="L36" s="390"/>
      <c r="M36" s="390"/>
      <c r="N36" s="137">
        <f t="shared" si="9"/>
        <v>0</v>
      </c>
      <c r="O36" s="137">
        <f t="shared" si="10"/>
        <v>0</v>
      </c>
      <c r="P36" s="137">
        <f t="shared" si="11"/>
        <v>0</v>
      </c>
      <c r="Q36" s="138">
        <f t="shared" si="12"/>
        <v>0</v>
      </c>
    </row>
    <row r="37" spans="1:17" ht="11.25">
      <c r="A37" s="5"/>
      <c r="B37" s="90"/>
      <c r="C37" s="39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8"/>
    </row>
    <row r="38" spans="1:17" ht="30" customHeight="1">
      <c r="A38" s="5" t="s">
        <v>75</v>
      </c>
      <c r="B38" s="90" t="s">
        <v>380</v>
      </c>
      <c r="C38" s="39" t="s">
        <v>77</v>
      </c>
      <c r="D38" s="57" t="s">
        <v>360</v>
      </c>
      <c r="E38" s="137">
        <f>SUM(E39:E42,E48:E51)</f>
        <v>21</v>
      </c>
      <c r="F38" s="137">
        <f aca="true" t="shared" si="15" ref="F38:M38">SUM(F39:F42,F48:F51)</f>
        <v>1653.0929999999998</v>
      </c>
      <c r="G38" s="137">
        <f t="shared" si="15"/>
        <v>0</v>
      </c>
      <c r="H38" s="137">
        <f t="shared" si="15"/>
        <v>1269.038</v>
      </c>
      <c r="I38" s="137">
        <f t="shared" si="15"/>
        <v>0</v>
      </c>
      <c r="J38" s="137">
        <f t="shared" si="15"/>
        <v>0</v>
      </c>
      <c r="K38" s="137">
        <f t="shared" si="15"/>
        <v>0</v>
      </c>
      <c r="L38" s="137">
        <f t="shared" si="15"/>
        <v>0</v>
      </c>
      <c r="M38" s="137">
        <f t="shared" si="15"/>
        <v>0</v>
      </c>
      <c r="N38" s="137">
        <f aca="true" t="shared" si="16" ref="N38:N51">IF(G38=0,IF(I38=0,0,100),I38/G38*100)</f>
        <v>0</v>
      </c>
      <c r="O38" s="137">
        <f aca="true" t="shared" si="17" ref="O38:O51">IF(H38=0,IF(I38=0,0,100),I38/H38*100)</f>
        <v>0</v>
      </c>
      <c r="P38" s="137">
        <f aca="true" t="shared" si="18" ref="P38:P51">IF(E38=0,IF(I38=0,0,100),I38/E38*100)</f>
        <v>0</v>
      </c>
      <c r="Q38" s="138">
        <f aca="true" t="shared" si="19" ref="Q38:Q51">IF(F38=0,IF(I38=0,0,100),I38/F38*100)</f>
        <v>0</v>
      </c>
    </row>
    <row r="39" spans="1:17" ht="11.25">
      <c r="A39" s="5"/>
      <c r="B39" s="90" t="s">
        <v>361</v>
      </c>
      <c r="C39" s="39" t="s">
        <v>825</v>
      </c>
      <c r="D39" s="57" t="s">
        <v>360</v>
      </c>
      <c r="E39" s="390"/>
      <c r="F39" s="390">
        <v>448</v>
      </c>
      <c r="G39" s="390"/>
      <c r="H39" s="390"/>
      <c r="I39" s="137">
        <f>SUM(J39:M39)</f>
        <v>0</v>
      </c>
      <c r="J39" s="390"/>
      <c r="K39" s="390"/>
      <c r="L39" s="390"/>
      <c r="M39" s="390"/>
      <c r="N39" s="137">
        <f t="shared" si="16"/>
        <v>0</v>
      </c>
      <c r="O39" s="137">
        <f t="shared" si="17"/>
        <v>0</v>
      </c>
      <c r="P39" s="137">
        <f t="shared" si="18"/>
        <v>0</v>
      </c>
      <c r="Q39" s="138">
        <f t="shared" si="19"/>
        <v>0</v>
      </c>
    </row>
    <row r="40" spans="1:17" ht="11.25">
      <c r="A40" s="5"/>
      <c r="B40" s="90" t="s">
        <v>362</v>
      </c>
      <c r="C40" s="39" t="s">
        <v>826</v>
      </c>
      <c r="D40" s="57" t="s">
        <v>360</v>
      </c>
      <c r="E40" s="390"/>
      <c r="F40" s="390">
        <v>196.834</v>
      </c>
      <c r="G40" s="390"/>
      <c r="H40" s="390">
        <v>869.038</v>
      </c>
      <c r="I40" s="137">
        <f>SUM(J40:M40)</f>
        <v>0</v>
      </c>
      <c r="J40" s="390"/>
      <c r="K40" s="390"/>
      <c r="L40" s="390"/>
      <c r="M40" s="390"/>
      <c r="N40" s="137">
        <f t="shared" si="16"/>
        <v>0</v>
      </c>
      <c r="O40" s="137">
        <f t="shared" si="17"/>
        <v>0</v>
      </c>
      <c r="P40" s="137">
        <f t="shared" si="18"/>
        <v>0</v>
      </c>
      <c r="Q40" s="138">
        <f t="shared" si="19"/>
        <v>0</v>
      </c>
    </row>
    <row r="41" spans="1:17" ht="11.25">
      <c r="A41" s="5"/>
      <c r="B41" s="90" t="s">
        <v>363</v>
      </c>
      <c r="C41" s="39" t="s">
        <v>827</v>
      </c>
      <c r="D41" s="57" t="s">
        <v>360</v>
      </c>
      <c r="E41" s="390"/>
      <c r="F41" s="390"/>
      <c r="G41" s="390"/>
      <c r="H41" s="390"/>
      <c r="I41" s="137">
        <f>SUM(J41:M41)</f>
        <v>0</v>
      </c>
      <c r="J41" s="390"/>
      <c r="K41" s="390"/>
      <c r="L41" s="390"/>
      <c r="M41" s="390"/>
      <c r="N41" s="137">
        <f t="shared" si="16"/>
        <v>0</v>
      </c>
      <c r="O41" s="137">
        <f t="shared" si="17"/>
        <v>0</v>
      </c>
      <c r="P41" s="137">
        <f t="shared" si="18"/>
        <v>0</v>
      </c>
      <c r="Q41" s="138">
        <f t="shared" si="19"/>
        <v>0</v>
      </c>
    </row>
    <row r="42" spans="1:17" ht="11.25">
      <c r="A42" s="5"/>
      <c r="B42" s="90" t="s">
        <v>364</v>
      </c>
      <c r="C42" s="39" t="s">
        <v>828</v>
      </c>
      <c r="D42" s="57" t="s">
        <v>360</v>
      </c>
      <c r="E42" s="137">
        <f>SUM(E43:E47)</f>
        <v>21</v>
      </c>
      <c r="F42" s="137">
        <f aca="true" t="shared" si="20" ref="F42:M42">SUM(F43:F47)</f>
        <v>426.293</v>
      </c>
      <c r="G42" s="137">
        <f t="shared" si="20"/>
        <v>0</v>
      </c>
      <c r="H42" s="137">
        <f t="shared" si="20"/>
        <v>400</v>
      </c>
      <c r="I42" s="137">
        <f t="shared" si="20"/>
        <v>0</v>
      </c>
      <c r="J42" s="137">
        <f t="shared" si="20"/>
        <v>0</v>
      </c>
      <c r="K42" s="137">
        <f t="shared" si="20"/>
        <v>0</v>
      </c>
      <c r="L42" s="137">
        <f t="shared" si="20"/>
        <v>0</v>
      </c>
      <c r="M42" s="137">
        <f t="shared" si="20"/>
        <v>0</v>
      </c>
      <c r="N42" s="137">
        <f t="shared" si="16"/>
        <v>0</v>
      </c>
      <c r="O42" s="137">
        <f t="shared" si="17"/>
        <v>0</v>
      </c>
      <c r="P42" s="137">
        <f t="shared" si="18"/>
        <v>0</v>
      </c>
      <c r="Q42" s="138">
        <f t="shared" si="19"/>
        <v>0</v>
      </c>
    </row>
    <row r="43" spans="1:17" ht="11.25">
      <c r="A43" s="5"/>
      <c r="B43" s="90" t="s">
        <v>365</v>
      </c>
      <c r="C43" s="39" t="s">
        <v>829</v>
      </c>
      <c r="D43" s="57" t="s">
        <v>360</v>
      </c>
      <c r="E43" s="390"/>
      <c r="F43" s="390">
        <v>299.106</v>
      </c>
      <c r="G43" s="390"/>
      <c r="H43" s="390">
        <v>400</v>
      </c>
      <c r="I43" s="137">
        <f aca="true" t="shared" si="21" ref="I43:I51">SUM(J43:M43)</f>
        <v>0</v>
      </c>
      <c r="J43" s="390"/>
      <c r="K43" s="390"/>
      <c r="L43" s="390"/>
      <c r="M43" s="390"/>
      <c r="N43" s="137">
        <f t="shared" si="16"/>
        <v>0</v>
      </c>
      <c r="O43" s="137">
        <f t="shared" si="17"/>
        <v>0</v>
      </c>
      <c r="P43" s="137">
        <f t="shared" si="18"/>
        <v>0</v>
      </c>
      <c r="Q43" s="138">
        <f t="shared" si="19"/>
        <v>0</v>
      </c>
    </row>
    <row r="44" spans="1:17" ht="11.25">
      <c r="A44" s="5"/>
      <c r="B44" s="90" t="s">
        <v>366</v>
      </c>
      <c r="C44" s="39" t="s">
        <v>830</v>
      </c>
      <c r="D44" s="57" t="s">
        <v>360</v>
      </c>
      <c r="E44" s="390"/>
      <c r="F44" s="390"/>
      <c r="G44" s="390"/>
      <c r="H44" s="390"/>
      <c r="I44" s="137">
        <f t="shared" si="21"/>
        <v>0</v>
      </c>
      <c r="J44" s="390"/>
      <c r="K44" s="390"/>
      <c r="L44" s="390"/>
      <c r="M44" s="390"/>
      <c r="N44" s="137">
        <f t="shared" si="16"/>
        <v>0</v>
      </c>
      <c r="O44" s="137">
        <f t="shared" si="17"/>
        <v>0</v>
      </c>
      <c r="P44" s="137">
        <f t="shared" si="18"/>
        <v>0</v>
      </c>
      <c r="Q44" s="138">
        <f t="shared" si="19"/>
        <v>0</v>
      </c>
    </row>
    <row r="45" spans="1:17" ht="11.25">
      <c r="A45" s="5"/>
      <c r="B45" s="90" t="s">
        <v>367</v>
      </c>
      <c r="C45" s="39" t="s">
        <v>831</v>
      </c>
      <c r="D45" s="57" t="s">
        <v>360</v>
      </c>
      <c r="E45" s="390"/>
      <c r="F45" s="390"/>
      <c r="G45" s="390"/>
      <c r="H45" s="390"/>
      <c r="I45" s="137">
        <f t="shared" si="21"/>
        <v>0</v>
      </c>
      <c r="J45" s="390"/>
      <c r="K45" s="390"/>
      <c r="L45" s="390"/>
      <c r="M45" s="390"/>
      <c r="N45" s="137">
        <f t="shared" si="16"/>
        <v>0</v>
      </c>
      <c r="O45" s="137">
        <f t="shared" si="17"/>
        <v>0</v>
      </c>
      <c r="P45" s="137">
        <f t="shared" si="18"/>
        <v>0</v>
      </c>
      <c r="Q45" s="138">
        <f t="shared" si="19"/>
        <v>0</v>
      </c>
    </row>
    <row r="46" spans="1:17" ht="11.25">
      <c r="A46" s="5"/>
      <c r="B46" s="90" t="s">
        <v>368</v>
      </c>
      <c r="C46" s="39" t="s">
        <v>832</v>
      </c>
      <c r="D46" s="57" t="s">
        <v>360</v>
      </c>
      <c r="E46" s="390">
        <v>21</v>
      </c>
      <c r="F46" s="390">
        <v>127.187</v>
      </c>
      <c r="G46" s="390"/>
      <c r="H46" s="390"/>
      <c r="I46" s="137">
        <f t="shared" si="21"/>
        <v>0</v>
      </c>
      <c r="J46" s="390"/>
      <c r="K46" s="390"/>
      <c r="L46" s="390"/>
      <c r="M46" s="390"/>
      <c r="N46" s="137">
        <f t="shared" si="16"/>
        <v>0</v>
      </c>
      <c r="O46" s="137">
        <f t="shared" si="17"/>
        <v>0</v>
      </c>
      <c r="P46" s="137">
        <f t="shared" si="18"/>
        <v>0</v>
      </c>
      <c r="Q46" s="138">
        <f t="shared" si="19"/>
        <v>0</v>
      </c>
    </row>
    <row r="47" spans="1:17" ht="11.25">
      <c r="A47" s="5"/>
      <c r="B47" s="90" t="s">
        <v>369</v>
      </c>
      <c r="C47" s="39" t="s">
        <v>833</v>
      </c>
      <c r="D47" s="57" t="s">
        <v>360</v>
      </c>
      <c r="E47" s="390"/>
      <c r="F47" s="390"/>
      <c r="G47" s="390"/>
      <c r="H47" s="390"/>
      <c r="I47" s="137">
        <f t="shared" si="21"/>
        <v>0</v>
      </c>
      <c r="J47" s="390"/>
      <c r="K47" s="390"/>
      <c r="L47" s="390"/>
      <c r="M47" s="390"/>
      <c r="N47" s="137">
        <f t="shared" si="16"/>
        <v>0</v>
      </c>
      <c r="O47" s="137">
        <f t="shared" si="17"/>
        <v>0</v>
      </c>
      <c r="P47" s="137">
        <f t="shared" si="18"/>
        <v>0</v>
      </c>
      <c r="Q47" s="138">
        <f t="shared" si="19"/>
        <v>0</v>
      </c>
    </row>
    <row r="48" spans="1:17" ht="11.25">
      <c r="A48" s="5"/>
      <c r="B48" s="90" t="s">
        <v>370</v>
      </c>
      <c r="C48" s="39" t="s">
        <v>834</v>
      </c>
      <c r="D48" s="57" t="s">
        <v>360</v>
      </c>
      <c r="E48" s="390"/>
      <c r="F48" s="390">
        <v>581.966</v>
      </c>
      <c r="G48" s="390"/>
      <c r="H48" s="390"/>
      <c r="I48" s="137">
        <f t="shared" si="21"/>
        <v>0</v>
      </c>
      <c r="J48" s="390"/>
      <c r="K48" s="390"/>
      <c r="L48" s="390"/>
      <c r="M48" s="390"/>
      <c r="N48" s="137">
        <f t="shared" si="16"/>
        <v>0</v>
      </c>
      <c r="O48" s="137">
        <f t="shared" si="17"/>
        <v>0</v>
      </c>
      <c r="P48" s="137">
        <f t="shared" si="18"/>
        <v>0</v>
      </c>
      <c r="Q48" s="138">
        <f t="shared" si="19"/>
        <v>0</v>
      </c>
    </row>
    <row r="49" spans="1:17" ht="11.25">
      <c r="A49" s="5"/>
      <c r="B49" s="90" t="s">
        <v>371</v>
      </c>
      <c r="C49" s="39" t="s">
        <v>835</v>
      </c>
      <c r="D49" s="57" t="s">
        <v>360</v>
      </c>
      <c r="E49" s="390"/>
      <c r="F49" s="390"/>
      <c r="G49" s="390"/>
      <c r="H49" s="390"/>
      <c r="I49" s="137">
        <f t="shared" si="21"/>
        <v>0</v>
      </c>
      <c r="J49" s="390"/>
      <c r="K49" s="390"/>
      <c r="L49" s="390"/>
      <c r="M49" s="390"/>
      <c r="N49" s="137">
        <f t="shared" si="16"/>
        <v>0</v>
      </c>
      <c r="O49" s="137">
        <f t="shared" si="17"/>
        <v>0</v>
      </c>
      <c r="P49" s="137">
        <f t="shared" si="18"/>
        <v>0</v>
      </c>
      <c r="Q49" s="138">
        <f t="shared" si="19"/>
        <v>0</v>
      </c>
    </row>
    <row r="50" spans="1:17" ht="11.25">
      <c r="A50" s="5"/>
      <c r="B50" s="90" t="s">
        <v>372</v>
      </c>
      <c r="C50" s="39" t="s">
        <v>836</v>
      </c>
      <c r="D50" s="57" t="s">
        <v>360</v>
      </c>
      <c r="E50" s="390"/>
      <c r="F50" s="390"/>
      <c r="G50" s="390"/>
      <c r="H50" s="390"/>
      <c r="I50" s="137">
        <f t="shared" si="21"/>
        <v>0</v>
      </c>
      <c r="J50" s="390"/>
      <c r="K50" s="390"/>
      <c r="L50" s="390"/>
      <c r="M50" s="390"/>
      <c r="N50" s="137">
        <f t="shared" si="16"/>
        <v>0</v>
      </c>
      <c r="O50" s="137">
        <f t="shared" si="17"/>
        <v>0</v>
      </c>
      <c r="P50" s="137">
        <f t="shared" si="18"/>
        <v>0</v>
      </c>
      <c r="Q50" s="138">
        <f t="shared" si="19"/>
        <v>0</v>
      </c>
    </row>
    <row r="51" spans="1:17" ht="11.25">
      <c r="A51" s="5"/>
      <c r="B51" s="90" t="s">
        <v>373</v>
      </c>
      <c r="C51" s="39" t="s">
        <v>837</v>
      </c>
      <c r="D51" s="57" t="s">
        <v>360</v>
      </c>
      <c r="E51" s="390"/>
      <c r="F51" s="390"/>
      <c r="G51" s="390"/>
      <c r="H51" s="390"/>
      <c r="I51" s="137">
        <f t="shared" si="21"/>
        <v>0</v>
      </c>
      <c r="J51" s="390"/>
      <c r="K51" s="390"/>
      <c r="L51" s="390"/>
      <c r="M51" s="390"/>
      <c r="N51" s="137">
        <f t="shared" si="16"/>
        <v>0</v>
      </c>
      <c r="O51" s="137">
        <f t="shared" si="17"/>
        <v>0</v>
      </c>
      <c r="P51" s="137">
        <f t="shared" si="18"/>
        <v>0</v>
      </c>
      <c r="Q51" s="138">
        <f t="shared" si="19"/>
        <v>0</v>
      </c>
    </row>
    <row r="52" spans="1:17" ht="11.25">
      <c r="A52" s="5"/>
      <c r="B52" s="90"/>
      <c r="C52" s="39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8"/>
    </row>
    <row r="53" spans="1:17" ht="30" customHeight="1">
      <c r="A53" s="5" t="s">
        <v>78</v>
      </c>
      <c r="B53" s="90" t="s">
        <v>381</v>
      </c>
      <c r="C53" s="39" t="s">
        <v>80</v>
      </c>
      <c r="D53" s="57" t="s">
        <v>360</v>
      </c>
      <c r="E53" s="137">
        <f>SUM(E54:E57,E63:E66)</f>
        <v>13356</v>
      </c>
      <c r="F53" s="137">
        <f aca="true" t="shared" si="22" ref="F53:M53">SUM(F54:F57,F63:F66)</f>
        <v>24634.999</v>
      </c>
      <c r="G53" s="137">
        <f t="shared" si="22"/>
        <v>18731.84</v>
      </c>
      <c r="H53" s="137">
        <f t="shared" si="22"/>
        <v>23120.255</v>
      </c>
      <c r="I53" s="137">
        <f t="shared" si="22"/>
        <v>37457.68275</v>
      </c>
      <c r="J53" s="137">
        <f t="shared" si="22"/>
        <v>34714.464</v>
      </c>
      <c r="K53" s="137">
        <f t="shared" si="22"/>
        <v>38372.089</v>
      </c>
      <c r="L53" s="137">
        <f t="shared" si="22"/>
        <v>38372.089</v>
      </c>
      <c r="M53" s="137">
        <f t="shared" si="22"/>
        <v>38372.089</v>
      </c>
      <c r="N53" s="137">
        <f aca="true" t="shared" si="23" ref="N53:N66">IF(G53=0,IF(I53=0,0,100),I53/G53*100)</f>
        <v>199.967983657772</v>
      </c>
      <c r="O53" s="137">
        <f aca="true" t="shared" si="24" ref="O53:O66">IF(H53=0,IF(I53=0,0,100),I53/H53*100)</f>
        <v>162.0124118440735</v>
      </c>
      <c r="P53" s="137">
        <f aca="true" t="shared" si="25" ref="P53:P66">IF(E53=0,IF(I53=0,0,100),I53/E53*100)</f>
        <v>280.45584568733153</v>
      </c>
      <c r="Q53" s="138">
        <f aca="true" t="shared" si="26" ref="Q53:Q66">IF(F53=0,IF(I53=0,0,100),I53/F53*100)</f>
        <v>152.0506769657267</v>
      </c>
    </row>
    <row r="54" spans="1:17" ht="11.25">
      <c r="A54" s="5"/>
      <c r="B54" s="90" t="s">
        <v>361</v>
      </c>
      <c r="C54" s="39" t="s">
        <v>107</v>
      </c>
      <c r="D54" s="57" t="s">
        <v>360</v>
      </c>
      <c r="E54" s="689">
        <v>678</v>
      </c>
      <c r="F54" s="390">
        <v>500.449</v>
      </c>
      <c r="G54" s="689">
        <v>538.46</v>
      </c>
      <c r="H54" s="390">
        <v>279.16</v>
      </c>
      <c r="I54" s="137">
        <f>(I9/2+K9+L9+M9+(M9+M24-M39)/2)/4</f>
        <v>334.92</v>
      </c>
      <c r="J54" s="137">
        <f aca="true" t="shared" si="27" ref="J54:L66">(J9+K9)/2</f>
        <v>334.92</v>
      </c>
      <c r="K54" s="137">
        <f t="shared" si="27"/>
        <v>334.92</v>
      </c>
      <c r="L54" s="137">
        <f t="shared" si="27"/>
        <v>334.92</v>
      </c>
      <c r="M54" s="137">
        <f aca="true" t="shared" si="28" ref="M54:M66">(M9+M9+M24-M39)/2</f>
        <v>334.92</v>
      </c>
      <c r="N54" s="137">
        <f t="shared" si="23"/>
        <v>62.19960628458938</v>
      </c>
      <c r="O54" s="137">
        <f t="shared" si="24"/>
        <v>119.97420833930362</v>
      </c>
      <c r="P54" s="137">
        <f t="shared" si="25"/>
        <v>49.39823008849557</v>
      </c>
      <c r="Q54" s="138">
        <f t="shared" si="26"/>
        <v>66.92390233570255</v>
      </c>
    </row>
    <row r="55" spans="1:17" ht="11.25">
      <c r="A55" s="5"/>
      <c r="B55" s="90" t="s">
        <v>362</v>
      </c>
      <c r="C55" s="39" t="s">
        <v>115</v>
      </c>
      <c r="D55" s="57" t="s">
        <v>360</v>
      </c>
      <c r="E55" s="689">
        <v>5988.66</v>
      </c>
      <c r="F55" s="390">
        <v>11990.571</v>
      </c>
      <c r="G55" s="689">
        <v>8337.24</v>
      </c>
      <c r="H55" s="390">
        <v>13835.049</v>
      </c>
      <c r="I55" s="137">
        <f>(I10/2+K10+L10+M10+(M10+M25-M40)/2)/4</f>
        <v>22444.77575</v>
      </c>
      <c r="J55" s="137">
        <f t="shared" si="27"/>
        <v>19701.557</v>
      </c>
      <c r="K55" s="137">
        <f t="shared" si="27"/>
        <v>23359.182</v>
      </c>
      <c r="L55" s="137">
        <f t="shared" si="27"/>
        <v>23359.182</v>
      </c>
      <c r="M55" s="137">
        <f t="shared" si="28"/>
        <v>23359.182</v>
      </c>
      <c r="N55" s="137">
        <f t="shared" si="23"/>
        <v>269.211102834991</v>
      </c>
      <c r="O55" s="137">
        <f t="shared" si="24"/>
        <v>162.2312703771414</v>
      </c>
      <c r="P55" s="137">
        <f t="shared" si="25"/>
        <v>374.7879450494769</v>
      </c>
      <c r="Q55" s="138">
        <f t="shared" si="26"/>
        <v>187.18688000763265</v>
      </c>
    </row>
    <row r="56" spans="1:17" ht="11.25">
      <c r="A56" s="5"/>
      <c r="B56" s="90" t="s">
        <v>363</v>
      </c>
      <c r="C56" s="39" t="s">
        <v>118</v>
      </c>
      <c r="D56" s="57" t="s">
        <v>360</v>
      </c>
      <c r="E56" s="689">
        <v>3829.26</v>
      </c>
      <c r="F56" s="390"/>
      <c r="G56" s="689">
        <v>3940.09</v>
      </c>
      <c r="H56" s="390"/>
      <c r="I56" s="137">
        <f>(I11/2+K11+L11+M11+(M11+M26-M41)/2)/4</f>
        <v>0</v>
      </c>
      <c r="J56" s="137">
        <f t="shared" si="27"/>
        <v>0</v>
      </c>
      <c r="K56" s="137">
        <f t="shared" si="27"/>
        <v>0</v>
      </c>
      <c r="L56" s="137">
        <f t="shared" si="27"/>
        <v>0</v>
      </c>
      <c r="M56" s="137">
        <f t="shared" si="28"/>
        <v>0</v>
      </c>
      <c r="N56" s="137">
        <f t="shared" si="23"/>
        <v>0</v>
      </c>
      <c r="O56" s="137">
        <f t="shared" si="24"/>
        <v>0</v>
      </c>
      <c r="P56" s="137">
        <f t="shared" si="25"/>
        <v>0</v>
      </c>
      <c r="Q56" s="138">
        <f t="shared" si="26"/>
        <v>0</v>
      </c>
    </row>
    <row r="57" spans="1:17" ht="11.25">
      <c r="A57" s="5"/>
      <c r="B57" s="90" t="s">
        <v>364</v>
      </c>
      <c r="C57" s="39" t="s">
        <v>121</v>
      </c>
      <c r="D57" s="57" t="s">
        <v>360</v>
      </c>
      <c r="E57" s="137">
        <f>SUM(E58:E62)</f>
        <v>2430.08</v>
      </c>
      <c r="F57" s="137">
        <f>SUM(F58:F62)</f>
        <v>9543.377999999999</v>
      </c>
      <c r="G57" s="137">
        <f>SUM(G58:G62)</f>
        <v>2323.58</v>
      </c>
      <c r="H57" s="137">
        <f>SUM(H58:H62)</f>
        <v>7590.636</v>
      </c>
      <c r="I57" s="137">
        <f>(I12/2+K12+L12+M12+(M12+M27-M42)/2)/4</f>
        <v>13477.81</v>
      </c>
      <c r="J57" s="137">
        <f t="shared" si="27"/>
        <v>13477.81</v>
      </c>
      <c r="K57" s="137">
        <f t="shared" si="27"/>
        <v>13477.81</v>
      </c>
      <c r="L57" s="137">
        <f t="shared" si="27"/>
        <v>13477.81</v>
      </c>
      <c r="M57" s="137">
        <f t="shared" si="28"/>
        <v>13477.81</v>
      </c>
      <c r="N57" s="137">
        <f t="shared" si="23"/>
        <v>580.0450167414077</v>
      </c>
      <c r="O57" s="137">
        <f t="shared" si="24"/>
        <v>177.55837587258827</v>
      </c>
      <c r="P57" s="137">
        <f t="shared" si="25"/>
        <v>554.6241276007374</v>
      </c>
      <c r="Q57" s="138">
        <f t="shared" si="26"/>
        <v>141.22682764949687</v>
      </c>
    </row>
    <row r="58" spans="1:17" ht="11.25">
      <c r="A58" s="5"/>
      <c r="B58" s="90" t="s">
        <v>365</v>
      </c>
      <c r="C58" s="39" t="s">
        <v>703</v>
      </c>
      <c r="D58" s="57" t="s">
        <v>360</v>
      </c>
      <c r="E58" s="689"/>
      <c r="F58" s="390">
        <v>9312.336</v>
      </c>
      <c r="G58" s="689"/>
      <c r="H58" s="390">
        <v>7588.59</v>
      </c>
      <c r="I58" s="137">
        <f aca="true" t="shared" si="29" ref="I58:I66">(I13/2+K13+L13+M13+(M13+M28-M43)/2)/4</f>
        <v>13477.81</v>
      </c>
      <c r="J58" s="137">
        <f t="shared" si="27"/>
        <v>13477.81</v>
      </c>
      <c r="K58" s="137">
        <f t="shared" si="27"/>
        <v>13477.81</v>
      </c>
      <c r="L58" s="137">
        <f t="shared" si="27"/>
        <v>13477.81</v>
      </c>
      <c r="M58" s="137">
        <f t="shared" si="28"/>
        <v>13477.81</v>
      </c>
      <c r="N58" s="137">
        <f t="shared" si="23"/>
        <v>100</v>
      </c>
      <c r="O58" s="137">
        <f t="shared" si="24"/>
        <v>177.60624832808202</v>
      </c>
      <c r="P58" s="137">
        <f t="shared" si="25"/>
        <v>100</v>
      </c>
      <c r="Q58" s="138">
        <f t="shared" si="26"/>
        <v>144.73070988847482</v>
      </c>
    </row>
    <row r="59" spans="1:17" ht="11.25">
      <c r="A59" s="5"/>
      <c r="B59" s="90" t="s">
        <v>366</v>
      </c>
      <c r="C59" s="39" t="s">
        <v>838</v>
      </c>
      <c r="D59" s="57" t="s">
        <v>360</v>
      </c>
      <c r="E59" s="689">
        <v>2362.08</v>
      </c>
      <c r="F59" s="390"/>
      <c r="G59" s="689">
        <v>2323.58</v>
      </c>
      <c r="H59" s="390"/>
      <c r="I59" s="137">
        <f t="shared" si="29"/>
        <v>0</v>
      </c>
      <c r="J59" s="137">
        <f t="shared" si="27"/>
        <v>0</v>
      </c>
      <c r="K59" s="137">
        <f t="shared" si="27"/>
        <v>0</v>
      </c>
      <c r="L59" s="137">
        <f t="shared" si="27"/>
        <v>0</v>
      </c>
      <c r="M59" s="137">
        <f t="shared" si="28"/>
        <v>0</v>
      </c>
      <c r="N59" s="137">
        <f t="shared" si="23"/>
        <v>0</v>
      </c>
      <c r="O59" s="137">
        <f t="shared" si="24"/>
        <v>0</v>
      </c>
      <c r="P59" s="137">
        <f t="shared" si="25"/>
        <v>0</v>
      </c>
      <c r="Q59" s="138">
        <f t="shared" si="26"/>
        <v>0</v>
      </c>
    </row>
    <row r="60" spans="1:17" ht="11.25">
      <c r="A60" s="5"/>
      <c r="B60" s="90" t="s">
        <v>367</v>
      </c>
      <c r="C60" s="39" t="s">
        <v>839</v>
      </c>
      <c r="D60" s="57" t="s">
        <v>360</v>
      </c>
      <c r="E60" s="689"/>
      <c r="F60" s="390"/>
      <c r="G60" s="689"/>
      <c r="H60" s="390"/>
      <c r="I60" s="137">
        <f t="shared" si="29"/>
        <v>0</v>
      </c>
      <c r="J60" s="137">
        <f t="shared" si="27"/>
        <v>0</v>
      </c>
      <c r="K60" s="137">
        <f t="shared" si="27"/>
        <v>0</v>
      </c>
      <c r="L60" s="137">
        <f t="shared" si="27"/>
        <v>0</v>
      </c>
      <c r="M60" s="137">
        <f t="shared" si="28"/>
        <v>0</v>
      </c>
      <c r="N60" s="137">
        <f t="shared" si="23"/>
        <v>0</v>
      </c>
      <c r="O60" s="137">
        <f t="shared" si="24"/>
        <v>0</v>
      </c>
      <c r="P60" s="137">
        <f t="shared" si="25"/>
        <v>0</v>
      </c>
      <c r="Q60" s="138">
        <f t="shared" si="26"/>
        <v>0</v>
      </c>
    </row>
    <row r="61" spans="1:17" ht="11.25">
      <c r="A61" s="5"/>
      <c r="B61" s="90" t="s">
        <v>368</v>
      </c>
      <c r="C61" s="39" t="s">
        <v>840</v>
      </c>
      <c r="D61" s="57" t="s">
        <v>360</v>
      </c>
      <c r="E61" s="689">
        <v>68</v>
      </c>
      <c r="F61" s="390">
        <v>231.042</v>
      </c>
      <c r="G61" s="689"/>
      <c r="H61" s="390">
        <v>2.046</v>
      </c>
      <c r="I61" s="137">
        <f t="shared" si="29"/>
        <v>0</v>
      </c>
      <c r="J61" s="137">
        <f t="shared" si="27"/>
        <v>0</v>
      </c>
      <c r="K61" s="137">
        <f t="shared" si="27"/>
        <v>0</v>
      </c>
      <c r="L61" s="137">
        <f t="shared" si="27"/>
        <v>0</v>
      </c>
      <c r="M61" s="137">
        <f t="shared" si="28"/>
        <v>0</v>
      </c>
      <c r="N61" s="137">
        <f t="shared" si="23"/>
        <v>0</v>
      </c>
      <c r="O61" s="137">
        <f t="shared" si="24"/>
        <v>0</v>
      </c>
      <c r="P61" s="137">
        <f t="shared" si="25"/>
        <v>0</v>
      </c>
      <c r="Q61" s="138">
        <f t="shared" si="26"/>
        <v>0</v>
      </c>
    </row>
    <row r="62" spans="1:17" ht="11.25">
      <c r="A62" s="5"/>
      <c r="B62" s="90" t="s">
        <v>369</v>
      </c>
      <c r="C62" s="39" t="s">
        <v>841</v>
      </c>
      <c r="D62" s="57" t="s">
        <v>360</v>
      </c>
      <c r="E62" s="689">
        <v>0</v>
      </c>
      <c r="F62" s="390"/>
      <c r="G62" s="689"/>
      <c r="H62" s="390"/>
      <c r="I62" s="137">
        <f t="shared" si="29"/>
        <v>0</v>
      </c>
      <c r="J62" s="137">
        <f t="shared" si="27"/>
        <v>0</v>
      </c>
      <c r="K62" s="137">
        <f t="shared" si="27"/>
        <v>0</v>
      </c>
      <c r="L62" s="137">
        <f t="shared" si="27"/>
        <v>0</v>
      </c>
      <c r="M62" s="137">
        <f t="shared" si="28"/>
        <v>0</v>
      </c>
      <c r="N62" s="137">
        <f t="shared" si="23"/>
        <v>0</v>
      </c>
      <c r="O62" s="137">
        <f t="shared" si="24"/>
        <v>0</v>
      </c>
      <c r="P62" s="137">
        <f t="shared" si="25"/>
        <v>0</v>
      </c>
      <c r="Q62" s="138">
        <f t="shared" si="26"/>
        <v>0</v>
      </c>
    </row>
    <row r="63" spans="1:17" ht="11.25">
      <c r="A63" s="5"/>
      <c r="B63" s="90" t="s">
        <v>370</v>
      </c>
      <c r="C63" s="39" t="s">
        <v>704</v>
      </c>
      <c r="D63" s="57" t="s">
        <v>360</v>
      </c>
      <c r="E63" s="689">
        <v>430</v>
      </c>
      <c r="F63" s="390">
        <v>2600.601</v>
      </c>
      <c r="G63" s="689">
        <v>3592.47</v>
      </c>
      <c r="H63" s="390">
        <v>1415.41</v>
      </c>
      <c r="I63" s="137">
        <f t="shared" si="29"/>
        <v>1200.177</v>
      </c>
      <c r="J63" s="137">
        <f t="shared" si="27"/>
        <v>1200.177</v>
      </c>
      <c r="K63" s="137">
        <f t="shared" si="27"/>
        <v>1200.177</v>
      </c>
      <c r="L63" s="137">
        <f t="shared" si="27"/>
        <v>1200.177</v>
      </c>
      <c r="M63" s="137">
        <f t="shared" si="28"/>
        <v>1200.177</v>
      </c>
      <c r="N63" s="137">
        <f t="shared" si="23"/>
        <v>33.408128669132935</v>
      </c>
      <c r="O63" s="137">
        <f t="shared" si="24"/>
        <v>84.79359337577097</v>
      </c>
      <c r="P63" s="137">
        <f t="shared" si="25"/>
        <v>279.11093023255813</v>
      </c>
      <c r="Q63" s="138">
        <f t="shared" si="26"/>
        <v>46.14998609936703</v>
      </c>
    </row>
    <row r="64" spans="1:17" ht="11.25">
      <c r="A64" s="5"/>
      <c r="B64" s="90" t="s">
        <v>371</v>
      </c>
      <c r="C64" s="39" t="s">
        <v>697</v>
      </c>
      <c r="D64" s="57" t="s">
        <v>360</v>
      </c>
      <c r="E64" s="390"/>
      <c r="F64" s="390"/>
      <c r="G64" s="390"/>
      <c r="H64" s="390"/>
      <c r="I64" s="137">
        <f t="shared" si="29"/>
        <v>0</v>
      </c>
      <c r="J64" s="137">
        <f t="shared" si="27"/>
        <v>0</v>
      </c>
      <c r="K64" s="137">
        <f t="shared" si="27"/>
        <v>0</v>
      </c>
      <c r="L64" s="137">
        <f t="shared" si="27"/>
        <v>0</v>
      </c>
      <c r="M64" s="137">
        <f t="shared" si="28"/>
        <v>0</v>
      </c>
      <c r="N64" s="137">
        <f t="shared" si="23"/>
        <v>0</v>
      </c>
      <c r="O64" s="137">
        <f t="shared" si="24"/>
        <v>0</v>
      </c>
      <c r="P64" s="137">
        <f t="shared" si="25"/>
        <v>0</v>
      </c>
      <c r="Q64" s="138">
        <f t="shared" si="26"/>
        <v>0</v>
      </c>
    </row>
    <row r="65" spans="1:17" ht="11.25">
      <c r="A65" s="5"/>
      <c r="B65" s="90" t="s">
        <v>372</v>
      </c>
      <c r="C65" s="39" t="s">
        <v>842</v>
      </c>
      <c r="D65" s="57" t="s">
        <v>360</v>
      </c>
      <c r="E65" s="390"/>
      <c r="F65" s="390"/>
      <c r="G65" s="390"/>
      <c r="H65" s="390"/>
      <c r="I65" s="137">
        <f t="shared" si="29"/>
        <v>0</v>
      </c>
      <c r="J65" s="137">
        <f t="shared" si="27"/>
        <v>0</v>
      </c>
      <c r="K65" s="137">
        <f t="shared" si="27"/>
        <v>0</v>
      </c>
      <c r="L65" s="137">
        <f t="shared" si="27"/>
        <v>0</v>
      </c>
      <c r="M65" s="137">
        <f t="shared" si="28"/>
        <v>0</v>
      </c>
      <c r="N65" s="137">
        <f t="shared" si="23"/>
        <v>0</v>
      </c>
      <c r="O65" s="137">
        <f t="shared" si="24"/>
        <v>0</v>
      </c>
      <c r="P65" s="137">
        <f t="shared" si="25"/>
        <v>0</v>
      </c>
      <c r="Q65" s="138">
        <f t="shared" si="26"/>
        <v>0</v>
      </c>
    </row>
    <row r="66" spans="1:17" ht="11.25">
      <c r="A66" s="5"/>
      <c r="B66" s="90" t="s">
        <v>373</v>
      </c>
      <c r="C66" s="39" t="s">
        <v>843</v>
      </c>
      <c r="D66" s="57" t="s">
        <v>360</v>
      </c>
      <c r="E66" s="390"/>
      <c r="F66" s="390"/>
      <c r="G66" s="390"/>
      <c r="H66" s="390"/>
      <c r="I66" s="137">
        <f t="shared" si="29"/>
        <v>0</v>
      </c>
      <c r="J66" s="137">
        <f t="shared" si="27"/>
        <v>0</v>
      </c>
      <c r="K66" s="137">
        <f t="shared" si="27"/>
        <v>0</v>
      </c>
      <c r="L66" s="137">
        <f t="shared" si="27"/>
        <v>0</v>
      </c>
      <c r="M66" s="137">
        <f t="shared" si="28"/>
        <v>0</v>
      </c>
      <c r="N66" s="137">
        <f t="shared" si="23"/>
        <v>0</v>
      </c>
      <c r="O66" s="137">
        <f t="shared" si="24"/>
        <v>0</v>
      </c>
      <c r="P66" s="137">
        <f t="shared" si="25"/>
        <v>0</v>
      </c>
      <c r="Q66" s="138">
        <f t="shared" si="26"/>
        <v>0</v>
      </c>
    </row>
    <row r="67" spans="1:17" ht="11.25">
      <c r="A67" s="5"/>
      <c r="B67" s="90"/>
      <c r="C67" s="39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8"/>
    </row>
    <row r="68" spans="1:17" ht="11.25">
      <c r="A68" s="5" t="s">
        <v>122</v>
      </c>
      <c r="B68" s="90" t="s">
        <v>382</v>
      </c>
      <c r="C68" s="39" t="s">
        <v>124</v>
      </c>
      <c r="D68" s="57"/>
      <c r="E68" s="304">
        <f>E83/E53*100</f>
        <v>11.369971195118298</v>
      </c>
      <c r="F68" s="57"/>
      <c r="G68" s="304">
        <f>G83/G53*100</f>
        <v>11.234243979235355</v>
      </c>
      <c r="H68" s="304">
        <f>H83/H53*100</f>
        <v>11.847806443238513</v>
      </c>
      <c r="I68" s="304">
        <f>I83/I53*100</f>
        <v>8.901034640981981</v>
      </c>
      <c r="J68" s="57"/>
      <c r="K68" s="57"/>
      <c r="L68" s="57"/>
      <c r="M68" s="57"/>
      <c r="N68" s="57"/>
      <c r="O68" s="57"/>
      <c r="P68" s="57"/>
      <c r="Q68" s="58"/>
    </row>
    <row r="69" spans="1:17" ht="11.25">
      <c r="A69" s="5"/>
      <c r="B69" s="90" t="s">
        <v>375</v>
      </c>
      <c r="C69" s="39" t="s">
        <v>732</v>
      </c>
      <c r="D69" s="57" t="s">
        <v>255</v>
      </c>
      <c r="E69" s="689">
        <v>0.735</v>
      </c>
      <c r="F69" s="390">
        <v>2.37</v>
      </c>
      <c r="G69" s="689">
        <v>13.5606</v>
      </c>
      <c r="H69" s="390">
        <v>3.5209199</v>
      </c>
      <c r="I69" s="390">
        <v>2.934730681</v>
      </c>
      <c r="J69" s="390">
        <v>0.7325</v>
      </c>
      <c r="K69" s="390">
        <v>0.7325</v>
      </c>
      <c r="L69" s="390">
        <v>0.7325</v>
      </c>
      <c r="M69" s="390">
        <v>0.7325</v>
      </c>
      <c r="N69" s="137">
        <f aca="true" t="shared" si="30" ref="N69:N81">IF(G69=0,IF(I69=0,0,100),I69/G69*100)</f>
        <v>21.64159905166438</v>
      </c>
      <c r="O69" s="137">
        <f aca="true" t="shared" si="31" ref="O69:O81">IF(H69=0,IF(I69=0,0,100),I69/H69*100)</f>
        <v>83.35124809286346</v>
      </c>
      <c r="P69" s="137">
        <f aca="true" t="shared" si="32" ref="P69:P81">IF(E69=0,IF(I69=0,0,100),I69/E69*100)</f>
        <v>399.2830858503401</v>
      </c>
      <c r="Q69" s="138">
        <f aca="true" t="shared" si="33" ref="Q69:Q81">IF(F69=0,IF(I69=0,0,100),I69/F69*100)</f>
        <v>123.8282987763713</v>
      </c>
    </row>
    <row r="70" spans="1:17" ht="11.25">
      <c r="A70" s="5"/>
      <c r="B70" s="90" t="s">
        <v>376</v>
      </c>
      <c r="C70" s="39" t="s">
        <v>733</v>
      </c>
      <c r="D70" s="57" t="s">
        <v>255</v>
      </c>
      <c r="E70" s="689">
        <v>5.2277</v>
      </c>
      <c r="F70" s="390">
        <v>3.3512</v>
      </c>
      <c r="G70" s="689">
        <v>4.12644</v>
      </c>
      <c r="H70" s="390">
        <v>5.75695</v>
      </c>
      <c r="I70" s="390">
        <v>5.5856</v>
      </c>
      <c r="J70" s="390">
        <v>1.3964</v>
      </c>
      <c r="K70" s="390">
        <v>1.3964</v>
      </c>
      <c r="L70" s="390">
        <v>1.3964</v>
      </c>
      <c r="M70" s="390">
        <v>1.3964</v>
      </c>
      <c r="N70" s="137">
        <f t="shared" si="30"/>
        <v>135.36123147313424</v>
      </c>
      <c r="O70" s="137">
        <f t="shared" si="31"/>
        <v>97.02359756468269</v>
      </c>
      <c r="P70" s="137">
        <f t="shared" si="32"/>
        <v>106.84622300438053</v>
      </c>
      <c r="Q70" s="138">
        <f t="shared" si="33"/>
        <v>166.67462401527814</v>
      </c>
    </row>
    <row r="71" spans="1:17" ht="11.25">
      <c r="A71" s="5"/>
      <c r="B71" s="90" t="s">
        <v>377</v>
      </c>
      <c r="C71" s="39" t="s">
        <v>734</v>
      </c>
      <c r="D71" s="57" t="s">
        <v>255</v>
      </c>
      <c r="E71" s="689">
        <v>5.95</v>
      </c>
      <c r="F71" s="390"/>
      <c r="G71" s="689">
        <v>5.27924</v>
      </c>
      <c r="H71" s="390"/>
      <c r="I71" s="390"/>
      <c r="J71" s="390"/>
      <c r="K71" s="390"/>
      <c r="L71" s="390"/>
      <c r="M71" s="390"/>
      <c r="N71" s="137">
        <f t="shared" si="30"/>
        <v>0</v>
      </c>
      <c r="O71" s="137">
        <f t="shared" si="31"/>
        <v>0</v>
      </c>
      <c r="P71" s="137">
        <f t="shared" si="32"/>
        <v>0</v>
      </c>
      <c r="Q71" s="138">
        <f t="shared" si="33"/>
        <v>0</v>
      </c>
    </row>
    <row r="72" spans="1:17" ht="11.25">
      <c r="A72" s="5"/>
      <c r="B72" s="90" t="s">
        <v>378</v>
      </c>
      <c r="C72" s="39" t="s">
        <v>736</v>
      </c>
      <c r="D72" s="57" t="s">
        <v>255</v>
      </c>
      <c r="E72" s="689">
        <v>29.38</v>
      </c>
      <c r="F72" s="390">
        <v>10.2837</v>
      </c>
      <c r="G72" s="689">
        <v>31.87788</v>
      </c>
      <c r="H72" s="390">
        <v>19.793666937</v>
      </c>
      <c r="I72" s="390">
        <v>12.169232241</v>
      </c>
      <c r="J72" s="390">
        <v>3.1725</v>
      </c>
      <c r="K72" s="390">
        <v>3.1725</v>
      </c>
      <c r="L72" s="390">
        <v>3.1725</v>
      </c>
      <c r="M72" s="390">
        <v>3.1725</v>
      </c>
      <c r="N72" s="137">
        <f t="shared" si="30"/>
        <v>38.17453431972264</v>
      </c>
      <c r="O72" s="137">
        <f t="shared" si="31"/>
        <v>61.48043351306593</v>
      </c>
      <c r="P72" s="137">
        <f t="shared" si="32"/>
        <v>41.42012335262083</v>
      </c>
      <c r="Q72" s="138">
        <f t="shared" si="33"/>
        <v>118.33515408850901</v>
      </c>
    </row>
    <row r="73" spans="1:17" ht="11.25">
      <c r="A73" s="5"/>
      <c r="B73" s="90" t="s">
        <v>379</v>
      </c>
      <c r="C73" s="39" t="s">
        <v>737</v>
      </c>
      <c r="D73" s="57" t="s">
        <v>255</v>
      </c>
      <c r="E73" s="689"/>
      <c r="F73" s="390">
        <v>10.481146</v>
      </c>
      <c r="G73" s="689"/>
      <c r="H73" s="390">
        <v>19.772078871</v>
      </c>
      <c r="I73" s="390">
        <v>12.169232241</v>
      </c>
      <c r="J73" s="390">
        <v>3.1725</v>
      </c>
      <c r="K73" s="390">
        <v>3.1725</v>
      </c>
      <c r="L73" s="390">
        <v>3.1725</v>
      </c>
      <c r="M73" s="390">
        <v>3.1725</v>
      </c>
      <c r="N73" s="137">
        <f t="shared" si="30"/>
        <v>100</v>
      </c>
      <c r="O73" s="137">
        <f t="shared" si="31"/>
        <v>61.54756068087909</v>
      </c>
      <c r="P73" s="137">
        <f t="shared" si="32"/>
        <v>100</v>
      </c>
      <c r="Q73" s="138">
        <f t="shared" si="33"/>
        <v>116.10593193721373</v>
      </c>
    </row>
    <row r="74" spans="1:17" ht="11.25">
      <c r="A74" s="5"/>
      <c r="B74" s="90" t="s">
        <v>366</v>
      </c>
      <c r="C74" s="39" t="s">
        <v>928</v>
      </c>
      <c r="D74" s="57" t="s">
        <v>255</v>
      </c>
      <c r="E74" s="689">
        <v>30.226</v>
      </c>
      <c r="F74" s="390"/>
      <c r="G74" s="689">
        <v>31.87788</v>
      </c>
      <c r="H74" s="390"/>
      <c r="I74" s="390"/>
      <c r="J74" s="390"/>
      <c r="K74" s="390"/>
      <c r="L74" s="390"/>
      <c r="M74" s="390"/>
      <c r="N74" s="137">
        <f t="shared" si="30"/>
        <v>0</v>
      </c>
      <c r="O74" s="137">
        <f t="shared" si="31"/>
        <v>0</v>
      </c>
      <c r="P74" s="137">
        <f t="shared" si="32"/>
        <v>0</v>
      </c>
      <c r="Q74" s="138">
        <f t="shared" si="33"/>
        <v>0</v>
      </c>
    </row>
    <row r="75" spans="1:17" ht="11.25">
      <c r="A75" s="5"/>
      <c r="B75" s="90" t="s">
        <v>367</v>
      </c>
      <c r="C75" s="39" t="s">
        <v>929</v>
      </c>
      <c r="D75" s="57" t="s">
        <v>255</v>
      </c>
      <c r="E75" s="689"/>
      <c r="F75" s="390"/>
      <c r="G75" s="689"/>
      <c r="H75" s="390"/>
      <c r="I75" s="390"/>
      <c r="J75" s="390"/>
      <c r="K75" s="390"/>
      <c r="L75" s="390"/>
      <c r="M75" s="390"/>
      <c r="N75" s="137">
        <f t="shared" si="30"/>
        <v>0</v>
      </c>
      <c r="O75" s="137">
        <f t="shared" si="31"/>
        <v>0</v>
      </c>
      <c r="P75" s="137">
        <f t="shared" si="32"/>
        <v>0</v>
      </c>
      <c r="Q75" s="138">
        <f t="shared" si="33"/>
        <v>0</v>
      </c>
    </row>
    <row r="76" spans="1:17" ht="11.25">
      <c r="A76" s="5"/>
      <c r="B76" s="90" t="s">
        <v>368</v>
      </c>
      <c r="C76" s="39" t="s">
        <v>930</v>
      </c>
      <c r="D76" s="57" t="s">
        <v>255</v>
      </c>
      <c r="E76" s="689">
        <v>36.76</v>
      </c>
      <c r="F76" s="390">
        <v>2.3286011</v>
      </c>
      <c r="G76" s="689"/>
      <c r="H76" s="390">
        <v>100</v>
      </c>
      <c r="I76" s="390"/>
      <c r="J76" s="390"/>
      <c r="K76" s="390"/>
      <c r="L76" s="390"/>
      <c r="M76" s="390"/>
      <c r="N76" s="137">
        <f t="shared" si="30"/>
        <v>0</v>
      </c>
      <c r="O76" s="137">
        <f t="shared" si="31"/>
        <v>0</v>
      </c>
      <c r="P76" s="137">
        <f t="shared" si="32"/>
        <v>0</v>
      </c>
      <c r="Q76" s="138">
        <f t="shared" si="33"/>
        <v>0</v>
      </c>
    </row>
    <row r="77" spans="1:17" ht="11.25">
      <c r="A77" s="5"/>
      <c r="B77" s="90" t="s">
        <v>369</v>
      </c>
      <c r="C77" s="39" t="s">
        <v>931</v>
      </c>
      <c r="D77" s="57" t="s">
        <v>255</v>
      </c>
      <c r="E77" s="689"/>
      <c r="F77" s="390"/>
      <c r="G77" s="689"/>
      <c r="H77" s="390"/>
      <c r="I77" s="390"/>
      <c r="J77" s="390"/>
      <c r="K77" s="390"/>
      <c r="L77" s="390"/>
      <c r="M77" s="390"/>
      <c r="N77" s="137">
        <f t="shared" si="30"/>
        <v>0</v>
      </c>
      <c r="O77" s="137">
        <f t="shared" si="31"/>
        <v>0</v>
      </c>
      <c r="P77" s="137">
        <f t="shared" si="32"/>
        <v>0</v>
      </c>
      <c r="Q77" s="138">
        <f t="shared" si="33"/>
        <v>0</v>
      </c>
    </row>
    <row r="78" spans="1:17" ht="11.25">
      <c r="A78" s="5"/>
      <c r="B78" s="90" t="s">
        <v>370</v>
      </c>
      <c r="C78" s="39" t="s">
        <v>809</v>
      </c>
      <c r="D78" s="57" t="s">
        <v>255</v>
      </c>
      <c r="E78" s="689">
        <v>60.168</v>
      </c>
      <c r="F78" s="390">
        <v>12.89894</v>
      </c>
      <c r="G78" s="689">
        <v>20.56012</v>
      </c>
      <c r="H78" s="390">
        <v>30.41323715</v>
      </c>
      <c r="I78" s="390">
        <v>35.8672865</v>
      </c>
      <c r="J78" s="390">
        <v>8.9713625</v>
      </c>
      <c r="K78" s="390">
        <v>8.9713625</v>
      </c>
      <c r="L78" s="390">
        <v>8.9713625</v>
      </c>
      <c r="M78" s="390">
        <v>8.9713625</v>
      </c>
      <c r="N78" s="137">
        <f t="shared" si="30"/>
        <v>174.4507643924257</v>
      </c>
      <c r="O78" s="137">
        <f t="shared" si="31"/>
        <v>117.93314313468271</v>
      </c>
      <c r="P78" s="137">
        <f t="shared" si="32"/>
        <v>59.61189752027656</v>
      </c>
      <c r="Q78" s="138">
        <f t="shared" si="33"/>
        <v>278.06382927589397</v>
      </c>
    </row>
    <row r="79" spans="1:17" ht="11.25">
      <c r="A79" s="5"/>
      <c r="B79" s="90" t="s">
        <v>371</v>
      </c>
      <c r="C79" s="39" t="s">
        <v>810</v>
      </c>
      <c r="D79" s="57" t="s">
        <v>255</v>
      </c>
      <c r="E79" s="390"/>
      <c r="F79" s="390"/>
      <c r="G79" s="390"/>
      <c r="H79" s="390"/>
      <c r="I79" s="390"/>
      <c r="J79" s="390"/>
      <c r="K79" s="390"/>
      <c r="L79" s="390"/>
      <c r="M79" s="390"/>
      <c r="N79" s="137">
        <f t="shared" si="30"/>
        <v>0</v>
      </c>
      <c r="O79" s="137">
        <f t="shared" si="31"/>
        <v>0</v>
      </c>
      <c r="P79" s="137">
        <f t="shared" si="32"/>
        <v>0</v>
      </c>
      <c r="Q79" s="138">
        <f t="shared" si="33"/>
        <v>0</v>
      </c>
    </row>
    <row r="80" spans="1:17" ht="11.25">
      <c r="A80" s="5"/>
      <c r="B80" s="90" t="s">
        <v>372</v>
      </c>
      <c r="C80" s="39" t="s">
        <v>892</v>
      </c>
      <c r="D80" s="57" t="s">
        <v>255</v>
      </c>
      <c r="E80" s="390"/>
      <c r="F80" s="390"/>
      <c r="G80" s="390"/>
      <c r="H80" s="390"/>
      <c r="I80" s="390"/>
      <c r="J80" s="390"/>
      <c r="K80" s="390"/>
      <c r="L80" s="390"/>
      <c r="M80" s="390"/>
      <c r="N80" s="137">
        <f t="shared" si="30"/>
        <v>0</v>
      </c>
      <c r="O80" s="137">
        <f t="shared" si="31"/>
        <v>0</v>
      </c>
      <c r="P80" s="137">
        <f t="shared" si="32"/>
        <v>0</v>
      </c>
      <c r="Q80" s="138">
        <f t="shared" si="33"/>
        <v>0</v>
      </c>
    </row>
    <row r="81" spans="1:17" ht="11.25">
      <c r="A81" s="5"/>
      <c r="B81" s="90" t="s">
        <v>373</v>
      </c>
      <c r="C81" s="39" t="s">
        <v>932</v>
      </c>
      <c r="D81" s="57" t="s">
        <v>255</v>
      </c>
      <c r="E81" s="390"/>
      <c r="F81" s="390"/>
      <c r="G81" s="390"/>
      <c r="H81" s="390"/>
      <c r="I81" s="390"/>
      <c r="J81" s="390"/>
      <c r="K81" s="390"/>
      <c r="L81" s="390"/>
      <c r="M81" s="390"/>
      <c r="N81" s="137">
        <f t="shared" si="30"/>
        <v>0</v>
      </c>
      <c r="O81" s="137">
        <f t="shared" si="31"/>
        <v>0</v>
      </c>
      <c r="P81" s="137">
        <f t="shared" si="32"/>
        <v>0</v>
      </c>
      <c r="Q81" s="138">
        <f t="shared" si="33"/>
        <v>0</v>
      </c>
    </row>
    <row r="82" spans="1:17" ht="11.25">
      <c r="A82" s="5"/>
      <c r="B82" s="90"/>
      <c r="C82" s="39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8"/>
    </row>
    <row r="83" spans="1:17" ht="22.5" customHeight="1">
      <c r="A83" s="154" t="s">
        <v>228</v>
      </c>
      <c r="B83" s="95" t="s">
        <v>383</v>
      </c>
      <c r="C83" s="39" t="s">
        <v>394</v>
      </c>
      <c r="D83" s="155" t="s">
        <v>360</v>
      </c>
      <c r="E83" s="156">
        <f>SUM(E84:E87,E93:E96)</f>
        <v>1518.5733528199999</v>
      </c>
      <c r="F83" s="156">
        <f aca="true" t="shared" si="34" ref="F83:M83">SUM(F84:F87,F93:F96)</f>
        <v>1730.5509826674</v>
      </c>
      <c r="G83" s="156">
        <f t="shared" si="34"/>
        <v>2104.3806074</v>
      </c>
      <c r="H83" s="156">
        <f t="shared" si="34"/>
        <v>2739.2430615831745</v>
      </c>
      <c r="I83" s="156">
        <f t="shared" si="34"/>
        <v>3334.121317286632</v>
      </c>
      <c r="J83" s="156">
        <f t="shared" si="34"/>
        <v>812.8215825096249</v>
      </c>
      <c r="K83" s="156">
        <f t="shared" si="34"/>
        <v>863.8966580096248</v>
      </c>
      <c r="L83" s="156">
        <f t="shared" si="34"/>
        <v>863.8966580096248</v>
      </c>
      <c r="M83" s="156">
        <f t="shared" si="34"/>
        <v>863.8966580096248</v>
      </c>
      <c r="N83" s="156">
        <f aca="true" t="shared" si="35" ref="N83:N96">IF(G83=0,IF(I83=0,0,100),I83/G83*100)</f>
        <v>158.43718125714906</v>
      </c>
      <c r="O83" s="156">
        <f aca="true" t="shared" si="36" ref="O83:O96">IF(H83=0,IF(I83=0,0,100),I83/H83*100)</f>
        <v>121.71688464037365</v>
      </c>
      <c r="P83" s="156">
        <f aca="true" t="shared" si="37" ref="P83:P96">IF(E83=0,IF(I83=0,0,100),I83/E83*100)</f>
        <v>219.5561584888309</v>
      </c>
      <c r="Q83" s="157">
        <f aca="true" t="shared" si="38" ref="Q83:Q96">IF(F83=0,IF(I83=0,0,100),I83/F83*100)</f>
        <v>192.6624150735828</v>
      </c>
    </row>
    <row r="84" spans="1:17" ht="11.25">
      <c r="A84" s="5"/>
      <c r="B84" s="90" t="s">
        <v>361</v>
      </c>
      <c r="C84" s="39" t="s">
        <v>738</v>
      </c>
      <c r="D84" s="57" t="s">
        <v>360</v>
      </c>
      <c r="E84" s="137">
        <f aca="true" t="shared" si="39" ref="E84:E96">E54*E69/100</f>
        <v>4.9833</v>
      </c>
      <c r="F84" s="137">
        <f aca="true" t="shared" si="40" ref="F84:M96">F54*F69/100</f>
        <v>11.8606413</v>
      </c>
      <c r="G84" s="137">
        <f t="shared" si="40"/>
        <v>73.01840676</v>
      </c>
      <c r="H84" s="137">
        <f t="shared" si="40"/>
        <v>9.82899999284</v>
      </c>
      <c r="I84" s="137">
        <f t="shared" si="40"/>
        <v>9.828999996805202</v>
      </c>
      <c r="J84" s="137">
        <f t="shared" si="40"/>
        <v>2.4532890000000003</v>
      </c>
      <c r="K84" s="137">
        <f t="shared" si="40"/>
        <v>2.4532890000000003</v>
      </c>
      <c r="L84" s="137">
        <f t="shared" si="40"/>
        <v>2.4532890000000003</v>
      </c>
      <c r="M84" s="137">
        <f t="shared" si="40"/>
        <v>2.4532890000000003</v>
      </c>
      <c r="N84" s="137">
        <f t="shared" si="35"/>
        <v>13.460989403824675</v>
      </c>
      <c r="O84" s="137">
        <f t="shared" si="36"/>
        <v>100.00000004034186</v>
      </c>
      <c r="P84" s="137">
        <f t="shared" si="37"/>
        <v>197.2387774527964</v>
      </c>
      <c r="Q84" s="138">
        <f t="shared" si="38"/>
        <v>82.8707297370607</v>
      </c>
    </row>
    <row r="85" spans="1:17" ht="11.25">
      <c r="A85" s="5"/>
      <c r="B85" s="90" t="s">
        <v>362</v>
      </c>
      <c r="C85" s="39" t="s">
        <v>739</v>
      </c>
      <c r="D85" s="57" t="s">
        <v>360</v>
      </c>
      <c r="E85" s="137">
        <f t="shared" si="39"/>
        <v>313.06917882</v>
      </c>
      <c r="F85" s="137">
        <f t="shared" si="40"/>
        <v>401.828015352</v>
      </c>
      <c r="G85" s="137">
        <f t="shared" si="40"/>
        <v>344.0312062559999</v>
      </c>
      <c r="H85" s="137">
        <f t="shared" si="40"/>
        <v>796.4768534055</v>
      </c>
      <c r="I85" s="137">
        <f t="shared" si="40"/>
        <v>1253.6753942920002</v>
      </c>
      <c r="J85" s="137">
        <f t="shared" si="40"/>
        <v>275.11254194800006</v>
      </c>
      <c r="K85" s="137">
        <f t="shared" si="40"/>
        <v>326.187617448</v>
      </c>
      <c r="L85" s="137">
        <f t="shared" si="40"/>
        <v>326.187617448</v>
      </c>
      <c r="M85" s="137">
        <f t="shared" si="40"/>
        <v>326.187617448</v>
      </c>
      <c r="N85" s="137">
        <f t="shared" si="35"/>
        <v>364.40746405984964</v>
      </c>
      <c r="O85" s="137">
        <f t="shared" si="36"/>
        <v>157.40261489479</v>
      </c>
      <c r="P85" s="137">
        <f t="shared" si="37"/>
        <v>400.4467635610992</v>
      </c>
      <c r="Q85" s="138">
        <f t="shared" si="38"/>
        <v>311.99302845865157</v>
      </c>
    </row>
    <row r="86" spans="1:17" ht="11.25">
      <c r="A86" s="5"/>
      <c r="B86" s="90" t="s">
        <v>363</v>
      </c>
      <c r="C86" s="39" t="s">
        <v>740</v>
      </c>
      <c r="D86" s="57" t="s">
        <v>360</v>
      </c>
      <c r="E86" s="137">
        <f t="shared" si="39"/>
        <v>227.84097000000003</v>
      </c>
      <c r="F86" s="137">
        <f t="shared" si="40"/>
        <v>0</v>
      </c>
      <c r="G86" s="137">
        <f t="shared" si="40"/>
        <v>208.00680731600002</v>
      </c>
      <c r="H86" s="137">
        <f t="shared" si="40"/>
        <v>0</v>
      </c>
      <c r="I86" s="137">
        <f t="shared" si="40"/>
        <v>0</v>
      </c>
      <c r="J86" s="137">
        <f t="shared" si="40"/>
        <v>0</v>
      </c>
      <c r="K86" s="137">
        <f t="shared" si="40"/>
        <v>0</v>
      </c>
      <c r="L86" s="137">
        <f t="shared" si="40"/>
        <v>0</v>
      </c>
      <c r="M86" s="137">
        <f t="shared" si="40"/>
        <v>0</v>
      </c>
      <c r="N86" s="137">
        <f t="shared" si="35"/>
        <v>0</v>
      </c>
      <c r="O86" s="137">
        <f t="shared" si="36"/>
        <v>0</v>
      </c>
      <c r="P86" s="137">
        <f t="shared" si="37"/>
        <v>0</v>
      </c>
      <c r="Q86" s="138">
        <f t="shared" si="38"/>
        <v>0</v>
      </c>
    </row>
    <row r="87" spans="1:17" ht="11.25">
      <c r="A87" s="5"/>
      <c r="B87" s="90" t="s">
        <v>364</v>
      </c>
      <c r="C87" s="39" t="s">
        <v>741</v>
      </c>
      <c r="D87" s="57" t="s">
        <v>360</v>
      </c>
      <c r="E87" s="137">
        <f t="shared" si="39"/>
        <v>713.9575039999999</v>
      </c>
      <c r="F87" s="137">
        <f t="shared" si="40"/>
        <v>981.4123633859998</v>
      </c>
      <c r="G87" s="137">
        <f t="shared" si="40"/>
        <v>740.708044104</v>
      </c>
      <c r="H87" s="137">
        <f t="shared" si="40"/>
        <v>1502.4652082400196</v>
      </c>
      <c r="I87" s="137">
        <f t="shared" si="40"/>
        <v>1640.145999900722</v>
      </c>
      <c r="J87" s="137">
        <f t="shared" si="40"/>
        <v>427.58352224999993</v>
      </c>
      <c r="K87" s="137">
        <f t="shared" si="40"/>
        <v>427.58352224999993</v>
      </c>
      <c r="L87" s="137">
        <f t="shared" si="40"/>
        <v>427.58352224999993</v>
      </c>
      <c r="M87" s="137">
        <f t="shared" si="40"/>
        <v>427.58352224999993</v>
      </c>
      <c r="N87" s="137">
        <f t="shared" si="35"/>
        <v>221.4294839857896</v>
      </c>
      <c r="O87" s="137">
        <f t="shared" si="36"/>
        <v>109.16365922522633</v>
      </c>
      <c r="P87" s="137">
        <f t="shared" si="37"/>
        <v>229.72599779562262</v>
      </c>
      <c r="Q87" s="138">
        <f t="shared" si="38"/>
        <v>167.12098411334514</v>
      </c>
    </row>
    <row r="88" spans="1:17" ht="11.25">
      <c r="A88" s="5"/>
      <c r="B88" s="90" t="s">
        <v>365</v>
      </c>
      <c r="C88" s="39" t="s">
        <v>844</v>
      </c>
      <c r="D88" s="57" t="s">
        <v>360</v>
      </c>
      <c r="E88" s="137">
        <f t="shared" si="39"/>
        <v>0</v>
      </c>
      <c r="F88" s="137">
        <f t="shared" si="40"/>
        <v>976.0395321705599</v>
      </c>
      <c r="G88" s="137">
        <f t="shared" si="40"/>
        <v>0</v>
      </c>
      <c r="H88" s="137">
        <f t="shared" si="40"/>
        <v>1500.421999996819</v>
      </c>
      <c r="I88" s="137">
        <f t="shared" si="40"/>
        <v>1640.145999900722</v>
      </c>
      <c r="J88" s="137">
        <f t="shared" si="40"/>
        <v>427.58352224999993</v>
      </c>
      <c r="K88" s="137">
        <f t="shared" si="40"/>
        <v>427.58352224999993</v>
      </c>
      <c r="L88" s="137">
        <f t="shared" si="40"/>
        <v>427.58352224999993</v>
      </c>
      <c r="M88" s="137">
        <f t="shared" si="40"/>
        <v>427.58352224999993</v>
      </c>
      <c r="N88" s="137">
        <f t="shared" si="35"/>
        <v>100</v>
      </c>
      <c r="O88" s="137">
        <f t="shared" si="36"/>
        <v>109.31231346275909</v>
      </c>
      <c r="P88" s="137">
        <f t="shared" si="37"/>
        <v>100</v>
      </c>
      <c r="Q88" s="138">
        <f t="shared" si="38"/>
        <v>168.04093951535884</v>
      </c>
    </row>
    <row r="89" spans="1:17" ht="11.25">
      <c r="A89" s="5"/>
      <c r="B89" s="90" t="s">
        <v>366</v>
      </c>
      <c r="C89" s="39" t="s">
        <v>845</v>
      </c>
      <c r="D89" s="57" t="s">
        <v>360</v>
      </c>
      <c r="E89" s="137">
        <f t="shared" si="39"/>
        <v>713.9623008</v>
      </c>
      <c r="F89" s="137">
        <f t="shared" si="40"/>
        <v>0</v>
      </c>
      <c r="G89" s="137">
        <f t="shared" si="40"/>
        <v>740.708044104</v>
      </c>
      <c r="H89" s="137">
        <f t="shared" si="40"/>
        <v>0</v>
      </c>
      <c r="I89" s="137">
        <f t="shared" si="40"/>
        <v>0</v>
      </c>
      <c r="J89" s="137">
        <f t="shared" si="40"/>
        <v>0</v>
      </c>
      <c r="K89" s="137">
        <f t="shared" si="40"/>
        <v>0</v>
      </c>
      <c r="L89" s="137">
        <f t="shared" si="40"/>
        <v>0</v>
      </c>
      <c r="M89" s="137">
        <f t="shared" si="40"/>
        <v>0</v>
      </c>
      <c r="N89" s="137">
        <f t="shared" si="35"/>
        <v>0</v>
      </c>
      <c r="O89" s="137">
        <f t="shared" si="36"/>
        <v>0</v>
      </c>
      <c r="P89" s="137">
        <f t="shared" si="37"/>
        <v>0</v>
      </c>
      <c r="Q89" s="138">
        <f t="shared" si="38"/>
        <v>0</v>
      </c>
    </row>
    <row r="90" spans="1:17" ht="11.25">
      <c r="A90" s="5"/>
      <c r="B90" s="90" t="s">
        <v>367</v>
      </c>
      <c r="C90" s="39" t="s">
        <v>846</v>
      </c>
      <c r="D90" s="57" t="s">
        <v>360</v>
      </c>
      <c r="E90" s="137">
        <f t="shared" si="39"/>
        <v>0</v>
      </c>
      <c r="F90" s="137">
        <f t="shared" si="40"/>
        <v>0</v>
      </c>
      <c r="G90" s="137">
        <f t="shared" si="40"/>
        <v>0</v>
      </c>
      <c r="H90" s="137">
        <f t="shared" si="40"/>
        <v>0</v>
      </c>
      <c r="I90" s="137">
        <f t="shared" si="40"/>
        <v>0</v>
      </c>
      <c r="J90" s="137">
        <f t="shared" si="40"/>
        <v>0</v>
      </c>
      <c r="K90" s="137">
        <f t="shared" si="40"/>
        <v>0</v>
      </c>
      <c r="L90" s="137">
        <f t="shared" si="40"/>
        <v>0</v>
      </c>
      <c r="M90" s="137">
        <f t="shared" si="40"/>
        <v>0</v>
      </c>
      <c r="N90" s="137">
        <f t="shared" si="35"/>
        <v>0</v>
      </c>
      <c r="O90" s="137">
        <f t="shared" si="36"/>
        <v>0</v>
      </c>
      <c r="P90" s="137">
        <f t="shared" si="37"/>
        <v>0</v>
      </c>
      <c r="Q90" s="138">
        <f t="shared" si="38"/>
        <v>0</v>
      </c>
    </row>
    <row r="91" spans="1:17" ht="11.25">
      <c r="A91" s="5"/>
      <c r="B91" s="90" t="s">
        <v>368</v>
      </c>
      <c r="C91" s="39" t="s">
        <v>847</v>
      </c>
      <c r="D91" s="57" t="s">
        <v>360</v>
      </c>
      <c r="E91" s="137">
        <f t="shared" si="39"/>
        <v>24.996799999999997</v>
      </c>
      <c r="F91" s="137">
        <f t="shared" si="40"/>
        <v>5.380046553462</v>
      </c>
      <c r="G91" s="137">
        <f t="shared" si="40"/>
        <v>0</v>
      </c>
      <c r="H91" s="137">
        <f t="shared" si="40"/>
        <v>2.046</v>
      </c>
      <c r="I91" s="137">
        <f t="shared" si="40"/>
        <v>0</v>
      </c>
      <c r="J91" s="137">
        <f t="shared" si="40"/>
        <v>0</v>
      </c>
      <c r="K91" s="137">
        <f t="shared" si="40"/>
        <v>0</v>
      </c>
      <c r="L91" s="137">
        <f t="shared" si="40"/>
        <v>0</v>
      </c>
      <c r="M91" s="137">
        <f t="shared" si="40"/>
        <v>0</v>
      </c>
      <c r="N91" s="137">
        <f t="shared" si="35"/>
        <v>0</v>
      </c>
      <c r="O91" s="137">
        <f t="shared" si="36"/>
        <v>0</v>
      </c>
      <c r="P91" s="137">
        <f t="shared" si="37"/>
        <v>0</v>
      </c>
      <c r="Q91" s="138">
        <f t="shared" si="38"/>
        <v>0</v>
      </c>
    </row>
    <row r="92" spans="1:17" ht="11.25">
      <c r="A92" s="5"/>
      <c r="B92" s="90" t="s">
        <v>369</v>
      </c>
      <c r="C92" s="39" t="s">
        <v>848</v>
      </c>
      <c r="D92" s="57" t="s">
        <v>360</v>
      </c>
      <c r="E92" s="137">
        <f t="shared" si="39"/>
        <v>0</v>
      </c>
      <c r="F92" s="137">
        <f t="shared" si="40"/>
        <v>0</v>
      </c>
      <c r="G92" s="137">
        <f t="shared" si="40"/>
        <v>0</v>
      </c>
      <c r="H92" s="137">
        <f t="shared" si="40"/>
        <v>0</v>
      </c>
      <c r="I92" s="137">
        <f t="shared" si="40"/>
        <v>0</v>
      </c>
      <c r="J92" s="137">
        <f t="shared" si="40"/>
        <v>0</v>
      </c>
      <c r="K92" s="137">
        <f t="shared" si="40"/>
        <v>0</v>
      </c>
      <c r="L92" s="137">
        <f t="shared" si="40"/>
        <v>0</v>
      </c>
      <c r="M92" s="137">
        <f t="shared" si="40"/>
        <v>0</v>
      </c>
      <c r="N92" s="137">
        <f t="shared" si="35"/>
        <v>0</v>
      </c>
      <c r="O92" s="137">
        <f t="shared" si="36"/>
        <v>0</v>
      </c>
      <c r="P92" s="137">
        <f t="shared" si="37"/>
        <v>0</v>
      </c>
      <c r="Q92" s="138">
        <f t="shared" si="38"/>
        <v>0</v>
      </c>
    </row>
    <row r="93" spans="1:17" ht="11.25">
      <c r="A93" s="5"/>
      <c r="B93" s="90" t="s">
        <v>370</v>
      </c>
      <c r="C93" s="39" t="s">
        <v>849</v>
      </c>
      <c r="D93" s="57" t="s">
        <v>360</v>
      </c>
      <c r="E93" s="137">
        <f t="shared" si="39"/>
        <v>258.7224</v>
      </c>
      <c r="F93" s="137">
        <f t="shared" si="40"/>
        <v>335.44996262940003</v>
      </c>
      <c r="G93" s="137">
        <f t="shared" si="40"/>
        <v>738.616142964</v>
      </c>
      <c r="H93" s="137">
        <f t="shared" si="40"/>
        <v>430.471999944815</v>
      </c>
      <c r="I93" s="137">
        <f t="shared" si="40"/>
        <v>430.47092309710496</v>
      </c>
      <c r="J93" s="137">
        <f t="shared" si="40"/>
        <v>107.672229311625</v>
      </c>
      <c r="K93" s="137">
        <f t="shared" si="40"/>
        <v>107.672229311625</v>
      </c>
      <c r="L93" s="137">
        <f t="shared" si="40"/>
        <v>107.672229311625</v>
      </c>
      <c r="M93" s="137">
        <f t="shared" si="40"/>
        <v>107.672229311625</v>
      </c>
      <c r="N93" s="137">
        <f t="shared" si="35"/>
        <v>58.280735832507524</v>
      </c>
      <c r="O93" s="137">
        <f t="shared" si="36"/>
        <v>99.99974984488883</v>
      </c>
      <c r="P93" s="137">
        <f t="shared" si="37"/>
        <v>166.38332169812315</v>
      </c>
      <c r="Q93" s="138">
        <f t="shared" si="38"/>
        <v>128.3264185581927</v>
      </c>
    </row>
    <row r="94" spans="1:17" ht="11.25">
      <c r="A94" s="5"/>
      <c r="B94" s="90" t="s">
        <v>371</v>
      </c>
      <c r="C94" s="39" t="s">
        <v>850</v>
      </c>
      <c r="D94" s="57" t="s">
        <v>360</v>
      </c>
      <c r="E94" s="137">
        <f t="shared" si="39"/>
        <v>0</v>
      </c>
      <c r="F94" s="137">
        <f t="shared" si="40"/>
        <v>0</v>
      </c>
      <c r="G94" s="137">
        <f t="shared" si="40"/>
        <v>0</v>
      </c>
      <c r="H94" s="137">
        <f t="shared" si="40"/>
        <v>0</v>
      </c>
      <c r="I94" s="137">
        <f t="shared" si="40"/>
        <v>0</v>
      </c>
      <c r="J94" s="137">
        <f t="shared" si="40"/>
        <v>0</v>
      </c>
      <c r="K94" s="137">
        <f t="shared" si="40"/>
        <v>0</v>
      </c>
      <c r="L94" s="137">
        <f t="shared" si="40"/>
        <v>0</v>
      </c>
      <c r="M94" s="137">
        <f t="shared" si="40"/>
        <v>0</v>
      </c>
      <c r="N94" s="137">
        <f t="shared" si="35"/>
        <v>0</v>
      </c>
      <c r="O94" s="137">
        <f t="shared" si="36"/>
        <v>0</v>
      </c>
      <c r="P94" s="137">
        <f t="shared" si="37"/>
        <v>0</v>
      </c>
      <c r="Q94" s="138">
        <f t="shared" si="38"/>
        <v>0</v>
      </c>
    </row>
    <row r="95" spans="1:17" ht="11.25">
      <c r="A95" s="5"/>
      <c r="B95" s="90" t="s">
        <v>372</v>
      </c>
      <c r="C95" s="39" t="s">
        <v>851</v>
      </c>
      <c r="D95" s="57" t="s">
        <v>360</v>
      </c>
      <c r="E95" s="137">
        <f t="shared" si="39"/>
        <v>0</v>
      </c>
      <c r="F95" s="137">
        <f t="shared" si="40"/>
        <v>0</v>
      </c>
      <c r="G95" s="137">
        <f t="shared" si="40"/>
        <v>0</v>
      </c>
      <c r="H95" s="137">
        <f t="shared" si="40"/>
        <v>0</v>
      </c>
      <c r="I95" s="137">
        <f t="shared" si="40"/>
        <v>0</v>
      </c>
      <c r="J95" s="137">
        <f t="shared" si="40"/>
        <v>0</v>
      </c>
      <c r="K95" s="137">
        <f t="shared" si="40"/>
        <v>0</v>
      </c>
      <c r="L95" s="137">
        <f t="shared" si="40"/>
        <v>0</v>
      </c>
      <c r="M95" s="137">
        <f t="shared" si="40"/>
        <v>0</v>
      </c>
      <c r="N95" s="137">
        <f t="shared" si="35"/>
        <v>0</v>
      </c>
      <c r="O95" s="137">
        <f t="shared" si="36"/>
        <v>0</v>
      </c>
      <c r="P95" s="137">
        <f t="shared" si="37"/>
        <v>0</v>
      </c>
      <c r="Q95" s="138">
        <f t="shared" si="38"/>
        <v>0</v>
      </c>
    </row>
    <row r="96" spans="1:17" ht="12" thickBot="1">
      <c r="A96" s="6"/>
      <c r="B96" s="117" t="s">
        <v>373</v>
      </c>
      <c r="C96" s="151" t="s">
        <v>852</v>
      </c>
      <c r="D96" s="152" t="s">
        <v>360</v>
      </c>
      <c r="E96" s="311">
        <f t="shared" si="39"/>
        <v>0</v>
      </c>
      <c r="F96" s="311">
        <f t="shared" si="40"/>
        <v>0</v>
      </c>
      <c r="G96" s="311">
        <f t="shared" si="40"/>
        <v>0</v>
      </c>
      <c r="H96" s="311">
        <f t="shared" si="40"/>
        <v>0</v>
      </c>
      <c r="I96" s="311">
        <f t="shared" si="40"/>
        <v>0</v>
      </c>
      <c r="J96" s="311">
        <f t="shared" si="40"/>
        <v>0</v>
      </c>
      <c r="K96" s="311">
        <f t="shared" si="40"/>
        <v>0</v>
      </c>
      <c r="L96" s="311">
        <f t="shared" si="40"/>
        <v>0</v>
      </c>
      <c r="M96" s="311">
        <f t="shared" si="40"/>
        <v>0</v>
      </c>
      <c r="N96" s="311">
        <f t="shared" si="35"/>
        <v>0</v>
      </c>
      <c r="O96" s="311">
        <f t="shared" si="36"/>
        <v>0</v>
      </c>
      <c r="P96" s="311">
        <f t="shared" si="37"/>
        <v>0</v>
      </c>
      <c r="Q96" s="312">
        <f t="shared" si="38"/>
        <v>0</v>
      </c>
    </row>
    <row r="97" spans="1:17" ht="11.25">
      <c r="A97" s="1"/>
      <c r="B97" s="259"/>
      <c r="C97" s="259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 ht="11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5:8" ht="15">
      <c r="E99" s="576" t="s">
        <v>1291</v>
      </c>
      <c r="F99" s="608"/>
      <c r="G99" s="607"/>
      <c r="H99" s="608" t="s">
        <v>1351</v>
      </c>
    </row>
    <row r="100" spans="5:8" ht="15">
      <c r="E100" s="576" t="s">
        <v>1354</v>
      </c>
      <c r="F100" s="576"/>
      <c r="G100" s="576" t="s">
        <v>1288</v>
      </c>
      <c r="H100" s="576"/>
    </row>
    <row r="101" spans="5:8" ht="15">
      <c r="E101" s="576" t="s">
        <v>1355</v>
      </c>
      <c r="F101" s="576"/>
      <c r="G101" s="576"/>
      <c r="H101" s="576"/>
    </row>
  </sheetData>
  <sheetProtection formatColumns="0" formatRows="0"/>
  <mergeCells count="11">
    <mergeCell ref="P3:Q4"/>
    <mergeCell ref="I4:I5"/>
    <mergeCell ref="J4:M4"/>
    <mergeCell ref="E3:F4"/>
    <mergeCell ref="G3:H4"/>
    <mergeCell ref="I3:M3"/>
    <mergeCell ref="N3:O4"/>
    <mergeCell ref="A3:A5"/>
    <mergeCell ref="B3:B5"/>
    <mergeCell ref="C3:C5"/>
    <mergeCell ref="D3:D5"/>
  </mergeCells>
  <dataValidations count="267">
    <dataValidation type="decimal" allowBlank="1" showInputMessage="1" showErrorMessage="1" error="Ввведеное значение неверно" sqref="G19:G21 G79:G81 G64:G66 G43:G51 G39:G41 G28:G36 G24:G26 E19:E21 E79:E81 E64:E66 E43:E51 E39:E41 E28:E36 E24:E26">
      <formula1>-1000000000000000</formula1>
      <formula2>1000000000000000</formula2>
    </dataValidation>
    <dataValidation type="decimal" allowBlank="1" showInputMessage="1" showErrorMessage="1" error="Ввведеное значение неверно" sqref="F9">
      <formula1>-1000000000000000</formula1>
      <formula2>1000000000000000</formula2>
    </dataValidation>
    <dataValidation type="decimal" allowBlank="1" showInputMessage="1" showErrorMessage="1" error="Ввведеное значение неверно" sqref="H9">
      <formula1>-1000000000000000</formula1>
      <formula2>1000000000000000</formula2>
    </dataValidation>
    <dataValidation type="decimal" allowBlank="1" showInputMessage="1" showErrorMessage="1" error="Ввведеное значение неверно" sqref="J9">
      <formula1>-1000000000000000</formula1>
      <formula2>1000000000000000</formula2>
    </dataValidation>
    <dataValidation type="decimal" allowBlank="1" showInputMessage="1" showErrorMessage="1" error="Ввведеное значение неверно" sqref="F10">
      <formula1>-1000000000000000</formula1>
      <formula2>1000000000000000</formula2>
    </dataValidation>
    <dataValidation type="decimal" allowBlank="1" showInputMessage="1" showErrorMessage="1" error="Ввведеное значение неверно" sqref="H10">
      <formula1>-1000000000000000</formula1>
      <formula2>1000000000000000</formula2>
    </dataValidation>
    <dataValidation type="decimal" allowBlank="1" showInputMessage="1" showErrorMessage="1" error="Ввведеное значение неверно" sqref="J10">
      <formula1>-1000000000000000</formula1>
      <formula2>1000000000000000</formula2>
    </dataValidation>
    <dataValidation type="decimal" allowBlank="1" showInputMessage="1" showErrorMessage="1" error="Ввведеное значение неверно" sqref="F11">
      <formula1>-1000000000000000</formula1>
      <formula2>1000000000000000</formula2>
    </dataValidation>
    <dataValidation type="decimal" allowBlank="1" showInputMessage="1" showErrorMessage="1" error="Ввведеное значение неверно" sqref="H11">
      <formula1>-1000000000000000</formula1>
      <formula2>1000000000000000</formula2>
    </dataValidation>
    <dataValidation type="decimal" allowBlank="1" showInputMessage="1" showErrorMessage="1" error="Ввведеное значение неверно" sqref="J11">
      <formula1>-1000000000000000</formula1>
      <formula2>1000000000000000</formula2>
    </dataValidation>
    <dataValidation type="decimal" allowBlank="1" showInputMessage="1" showErrorMessage="1" error="Ввведеное значение неверно" sqref="H13">
      <formula1>-1000000000000000</formula1>
      <formula2>1000000000000000</formula2>
    </dataValidation>
    <dataValidation type="decimal" allowBlank="1" showInputMessage="1" showErrorMessage="1" error="Ввведеное значение неверно" sqref="J12:J13">
      <formula1>-1000000000000000</formula1>
      <formula2>1000000000000000</formula2>
    </dataValidation>
    <dataValidation type="decimal" allowBlank="1" showInputMessage="1" showErrorMessage="1" error="Ввведеное значение неверно" sqref="F13:F14">
      <formula1>-1000000000000000</formula1>
      <formula2>1000000000000000</formula2>
    </dataValidation>
    <dataValidation type="decimal" allowBlank="1" showInputMessage="1" showErrorMessage="1" error="Ввведеное значение неверно" sqref="H14">
      <formula1>-1000000000000000</formula1>
      <formula2>1000000000000000</formula2>
    </dataValidation>
    <dataValidation type="decimal" allowBlank="1" showInputMessage="1" showErrorMessage="1" error="Ввведеное значение неверно" sqref="J14">
      <formula1>-1000000000000000</formula1>
      <formula2>1000000000000000</formula2>
    </dataValidation>
    <dataValidation type="decimal" allowBlank="1" showInputMessage="1" showErrorMessage="1" error="Ввведеное значение неверно" sqref="F15">
      <formula1>-1000000000000000</formula1>
      <formula2>1000000000000000</formula2>
    </dataValidation>
    <dataValidation type="decimal" allowBlank="1" showInputMessage="1" showErrorMessage="1" error="Ввведеное значение неверно" sqref="H15">
      <formula1>-1000000000000000</formula1>
      <formula2>1000000000000000</formula2>
    </dataValidation>
    <dataValidation type="decimal" allowBlank="1" showInputMessage="1" showErrorMessage="1" error="Ввведеное значение неверно" sqref="J15">
      <formula1>-1000000000000000</formula1>
      <formula2>1000000000000000</formula2>
    </dataValidation>
    <dataValidation type="decimal" allowBlank="1" showInputMessage="1" showErrorMessage="1" error="Ввведеное значение неверно" sqref="F16">
      <formula1>-1000000000000000</formula1>
      <formula2>1000000000000000</formula2>
    </dataValidation>
    <dataValidation type="decimal" allowBlank="1" showInputMessage="1" showErrorMessage="1" error="Ввведеное значение неверно" sqref="H16">
      <formula1>-1000000000000000</formula1>
      <formula2>1000000000000000</formula2>
    </dataValidation>
    <dataValidation type="decimal" allowBlank="1" showInputMessage="1" showErrorMessage="1" error="Ввведеное значение неверно" sqref="J16">
      <formula1>-1000000000000000</formula1>
      <formula2>1000000000000000</formula2>
    </dataValidation>
    <dataValidation type="decimal" allowBlank="1" showInputMessage="1" showErrorMessage="1" error="Ввведеное значение неверно" sqref="F17">
      <formula1>-1000000000000000</formula1>
      <formula2>1000000000000000</formula2>
    </dataValidation>
    <dataValidation type="decimal" allowBlank="1" showInputMessage="1" showErrorMessage="1" error="Ввведеное значение неверно" sqref="H17">
      <formula1>-1000000000000000</formula1>
      <formula2>1000000000000000</formula2>
    </dataValidation>
    <dataValidation type="decimal" allowBlank="1" showInputMessage="1" showErrorMessage="1" error="Ввведеное значение неверно" sqref="J17">
      <formula1>-1000000000000000</formula1>
      <formula2>1000000000000000</formula2>
    </dataValidation>
    <dataValidation type="decimal" allowBlank="1" showInputMessage="1" showErrorMessage="1" error="Ввведеное значение неверно" sqref="F18">
      <formula1>-1000000000000000</formula1>
      <formula2>1000000000000000</formula2>
    </dataValidation>
    <dataValidation type="decimal" allowBlank="1" showInputMessage="1" showErrorMessage="1" error="Ввведеное значение неверно" sqref="H18">
      <formula1>-1000000000000000</formula1>
      <formula2>1000000000000000</formula2>
    </dataValidation>
    <dataValidation type="decimal" allowBlank="1" showInputMessage="1" showErrorMessage="1" error="Ввведеное значение неверно" sqref="J18">
      <formula1>-1000000000000000</formula1>
      <formula2>1000000000000000</formula2>
    </dataValidation>
    <dataValidation type="decimal" allowBlank="1" showInputMessage="1" showErrorMessage="1" error="Ввведеное значение неверно" sqref="F19">
      <formula1>-1000000000000000</formula1>
      <formula2>1000000000000000</formula2>
    </dataValidation>
    <dataValidation type="decimal" allowBlank="1" showInputMessage="1" showErrorMessage="1" error="Ввведеное значение неверно" sqref="H19">
      <formula1>-1000000000000000</formula1>
      <formula2>1000000000000000</formula2>
    </dataValidation>
    <dataValidation type="decimal" allowBlank="1" showInputMessage="1" showErrorMessage="1" error="Ввведеное значение неверно" sqref="J19">
      <formula1>-1000000000000000</formula1>
      <formula2>1000000000000000</formula2>
    </dataValidation>
    <dataValidation type="decimal" allowBlank="1" showInputMessage="1" showErrorMessage="1" error="Ввведеное значение неверно" sqref="F20">
      <formula1>-1000000000000000</formula1>
      <formula2>1000000000000000</formula2>
    </dataValidation>
    <dataValidation type="decimal" allowBlank="1" showInputMessage="1" showErrorMessage="1" error="Ввведеное значение неверно" sqref="H20">
      <formula1>-1000000000000000</formula1>
      <formula2>1000000000000000</formula2>
    </dataValidation>
    <dataValidation type="decimal" allowBlank="1" showInputMessage="1" showErrorMessage="1" error="Ввведеное значение неверно" sqref="J20">
      <formula1>-1000000000000000</formula1>
      <formula2>1000000000000000</formula2>
    </dataValidation>
    <dataValidation type="decimal" allowBlank="1" showInputMessage="1" showErrorMessage="1" error="Ввведеное значение неверно" sqref="F21">
      <formula1>-1000000000000000</formula1>
      <formula2>1000000000000000</formula2>
    </dataValidation>
    <dataValidation type="decimal" allowBlank="1" showInputMessage="1" showErrorMessage="1" error="Ввведеное значение неверно" sqref="H21">
      <formula1>-1000000000000000</formula1>
      <formula2>1000000000000000</formula2>
    </dataValidation>
    <dataValidation type="decimal" allowBlank="1" showInputMessage="1" showErrorMessage="1" error="Ввведеное значение неверно" sqref="J21">
      <formula1>-1000000000000000</formula1>
      <formula2>1000000000000000</formula2>
    </dataValidation>
    <dataValidation type="decimal" allowBlank="1" showInputMessage="1" showErrorMessage="1" error="Ввведеное значение неверно" sqref="F24">
      <formula1>-1000000000000000</formula1>
      <formula2>1000000000000000</formula2>
    </dataValidation>
    <dataValidation type="decimal" allowBlank="1" showInputMessage="1" showErrorMessage="1" error="Ввведеное значение неверно" sqref="H24">
      <formula1>-1000000000000000</formula1>
      <formula2>1000000000000000</formula2>
    </dataValidation>
    <dataValidation type="decimal" allowBlank="1" showInputMessage="1" showErrorMessage="1" error="Ввведеное значение неверно" sqref="J24">
      <formula1>-1000000000000000</formula1>
      <formula2>1000000000000000</formula2>
    </dataValidation>
    <dataValidation type="decimal" allowBlank="1" showInputMessage="1" showErrorMessage="1" error="Ввведеное значение неверно" sqref="K24">
      <formula1>-1000000000000000</formula1>
      <formula2>1000000000000000</formula2>
    </dataValidation>
    <dataValidation type="decimal" allowBlank="1" showInputMessage="1" showErrorMessage="1" error="Ввведеное значение неверно" sqref="L24">
      <formula1>-1000000000000000</formula1>
      <formula2>1000000000000000</formula2>
    </dataValidation>
    <dataValidation type="decimal" allowBlank="1" showInputMessage="1" showErrorMessage="1" error="Ввведеное значение неверно" sqref="M24">
      <formula1>-1000000000000000</formula1>
      <formula2>1000000000000000</formula2>
    </dataValidation>
    <dataValidation type="decimal" allowBlank="1" showInputMessage="1" showErrorMessage="1" error="Ввведеное значение неверно" sqref="F25">
      <formula1>-1000000000000000</formula1>
      <formula2>1000000000000000</formula2>
    </dataValidation>
    <dataValidation type="decimal" allowBlank="1" showInputMessage="1" showErrorMessage="1" error="Ввведеное значение неверно" sqref="H25">
      <formula1>-1000000000000000</formula1>
      <formula2>1000000000000000</formula2>
    </dataValidation>
    <dataValidation type="decimal" allowBlank="1" showInputMessage="1" showErrorMessage="1" error="Ввведеное значение неверно" sqref="J25">
      <formula1>-1000000000000000</formula1>
      <formula2>1000000000000000</formula2>
    </dataValidation>
    <dataValidation type="decimal" allowBlank="1" showInputMessage="1" showErrorMessage="1" error="Ввведеное значение неверно" sqref="K25">
      <formula1>-1000000000000000</formula1>
      <formula2>1000000000000000</formula2>
    </dataValidation>
    <dataValidation type="decimal" allowBlank="1" showInputMessage="1" showErrorMessage="1" error="Ввведеное значение неверно" sqref="L25">
      <formula1>-1000000000000000</formula1>
      <formula2>1000000000000000</formula2>
    </dataValidation>
    <dataValidation type="decimal" allowBlank="1" showInputMessage="1" showErrorMessage="1" error="Ввведеное значение неверно" sqref="M25">
      <formula1>-1000000000000000</formula1>
      <formula2>1000000000000000</formula2>
    </dataValidation>
    <dataValidation type="decimal" allowBlank="1" showInputMessage="1" showErrorMessage="1" error="Ввведеное значение неверно" sqref="F26">
      <formula1>-1000000000000000</formula1>
      <formula2>1000000000000000</formula2>
    </dataValidation>
    <dataValidation type="decimal" allowBlank="1" showInputMessage="1" showErrorMessage="1" error="Ввведеное значение неверно" sqref="H26">
      <formula1>-1000000000000000</formula1>
      <formula2>1000000000000000</formula2>
    </dataValidation>
    <dataValidation type="decimal" allowBlank="1" showInputMessage="1" showErrorMessage="1" error="Ввведеное значение неверно" sqref="J26">
      <formula1>-1000000000000000</formula1>
      <formula2>1000000000000000</formula2>
    </dataValidation>
    <dataValidation type="decimal" allowBlank="1" showInputMessage="1" showErrorMessage="1" error="Ввведеное значение неверно" sqref="K26">
      <formula1>-1000000000000000</formula1>
      <formula2>1000000000000000</formula2>
    </dataValidation>
    <dataValidation type="decimal" allowBlank="1" showInputMessage="1" showErrorMessage="1" error="Ввведеное значение неверно" sqref="L26">
      <formula1>-1000000000000000</formula1>
      <formula2>1000000000000000</formula2>
    </dataValidation>
    <dataValidation type="decimal" allowBlank="1" showInputMessage="1" showErrorMessage="1" error="Ввведеное значение неверно" sqref="M26">
      <formula1>-1000000000000000</formula1>
      <formula2>1000000000000000</formula2>
    </dataValidation>
    <dataValidation type="decimal" allowBlank="1" showInputMessage="1" showErrorMessage="1" error="Ввведеное значение неверно" sqref="F28">
      <formula1>-1000000000000000</formula1>
      <formula2>1000000000000000</formula2>
    </dataValidation>
    <dataValidation type="decimal" allowBlank="1" showInputMessage="1" showErrorMessage="1" error="Ввведеное значение неверно" sqref="H28">
      <formula1>-1000000000000000</formula1>
      <formula2>1000000000000000</formula2>
    </dataValidation>
    <dataValidation type="decimal" allowBlank="1" showInputMessage="1" showErrorMessage="1" error="Ввведеное значение неверно" sqref="J28">
      <formula1>-1000000000000000</formula1>
      <formula2>1000000000000000</formula2>
    </dataValidation>
    <dataValidation type="decimal" allowBlank="1" showInputMessage="1" showErrorMessage="1" error="Ввведеное значение неверно" sqref="K28">
      <formula1>-1000000000000000</formula1>
      <formula2>1000000000000000</formula2>
    </dataValidation>
    <dataValidation type="decimal" allowBlank="1" showInputMessage="1" showErrorMessage="1" error="Ввведеное значение неверно" sqref="L28">
      <formula1>-1000000000000000</formula1>
      <formula2>1000000000000000</formula2>
    </dataValidation>
    <dataValidation type="decimal" allowBlank="1" showInputMessage="1" showErrorMessage="1" error="Ввведеное значение неверно" sqref="M28">
      <formula1>-1000000000000000</formula1>
      <formula2>1000000000000000</formula2>
    </dataValidation>
    <dataValidation type="decimal" allowBlank="1" showInputMessage="1" showErrorMessage="1" error="Ввведеное значение неверно" sqref="F29">
      <formula1>-1000000000000000</formula1>
      <formula2>1000000000000000</formula2>
    </dataValidation>
    <dataValidation type="decimal" allowBlank="1" showInputMessage="1" showErrorMessage="1" error="Ввведеное значение неверно" sqref="H29">
      <formula1>-1000000000000000</formula1>
      <formula2>1000000000000000</formula2>
    </dataValidation>
    <dataValidation type="decimal" allowBlank="1" showInputMessage="1" showErrorMessage="1" error="Ввведеное значение неверно" sqref="J29">
      <formula1>-1000000000000000</formula1>
      <formula2>1000000000000000</formula2>
    </dataValidation>
    <dataValidation type="decimal" allowBlank="1" showInputMessage="1" showErrorMessage="1" error="Ввведеное значение неверно" sqref="K29">
      <formula1>-1000000000000000</formula1>
      <formula2>1000000000000000</formula2>
    </dataValidation>
    <dataValidation type="decimal" allowBlank="1" showInputMessage="1" showErrorMessage="1" error="Ввведеное значение неверно" sqref="L29">
      <formula1>-1000000000000000</formula1>
      <formula2>1000000000000000</formula2>
    </dataValidation>
    <dataValidation type="decimal" allowBlank="1" showInputMessage="1" showErrorMessage="1" error="Ввведеное значение неверно" sqref="M29">
      <formula1>-1000000000000000</formula1>
      <formula2>1000000000000000</formula2>
    </dataValidation>
    <dataValidation type="decimal" allowBlank="1" showInputMessage="1" showErrorMessage="1" error="Ввведеное значение неверно" sqref="F30">
      <formula1>-1000000000000000</formula1>
      <formula2>1000000000000000</formula2>
    </dataValidation>
    <dataValidation type="decimal" allowBlank="1" showInputMessage="1" showErrorMessage="1" error="Ввведеное значение неверно" sqref="H30">
      <formula1>-1000000000000000</formula1>
      <formula2>1000000000000000</formula2>
    </dataValidation>
    <dataValidation type="decimal" allowBlank="1" showInputMessage="1" showErrorMessage="1" error="Ввведеное значение неверно" sqref="J30">
      <formula1>-1000000000000000</formula1>
      <formula2>1000000000000000</formula2>
    </dataValidation>
    <dataValidation type="decimal" allowBlank="1" showInputMessage="1" showErrorMessage="1" error="Ввведеное значение неверно" sqref="K30">
      <formula1>-1000000000000000</formula1>
      <formula2>1000000000000000</formula2>
    </dataValidation>
    <dataValidation type="decimal" allowBlank="1" showInputMessage="1" showErrorMessage="1" error="Ввведеное значение неверно" sqref="L30">
      <formula1>-1000000000000000</formula1>
      <formula2>1000000000000000</formula2>
    </dataValidation>
    <dataValidation type="decimal" allowBlank="1" showInputMessage="1" showErrorMessage="1" error="Ввведеное значение неверно" sqref="M30">
      <formula1>-1000000000000000</formula1>
      <formula2>1000000000000000</formula2>
    </dataValidation>
    <dataValidation type="decimal" allowBlank="1" showInputMessage="1" showErrorMessage="1" error="Ввведеное значение неверно" sqref="F31">
      <formula1>-1000000000000000</formula1>
      <formula2>1000000000000000</formula2>
    </dataValidation>
    <dataValidation type="decimal" allowBlank="1" showInputMessage="1" showErrorMessage="1" error="Ввведеное значение неверно" sqref="H31">
      <formula1>-1000000000000000</formula1>
      <formula2>1000000000000000</formula2>
    </dataValidation>
    <dataValidation type="decimal" allowBlank="1" showInputMessage="1" showErrorMessage="1" error="Ввведеное значение неверно" sqref="J31">
      <formula1>-1000000000000000</formula1>
      <formula2>1000000000000000</formula2>
    </dataValidation>
    <dataValidation type="decimal" allowBlank="1" showInputMessage="1" showErrorMessage="1" error="Ввведеное значение неверно" sqref="K31">
      <formula1>-1000000000000000</formula1>
      <formula2>1000000000000000</formula2>
    </dataValidation>
    <dataValidation type="decimal" allowBlank="1" showInputMessage="1" showErrorMessage="1" error="Ввведеное значение неверно" sqref="L31">
      <formula1>-1000000000000000</formula1>
      <formula2>1000000000000000</formula2>
    </dataValidation>
    <dataValidation type="decimal" allowBlank="1" showInputMessage="1" showErrorMessage="1" error="Ввведеное значение неверно" sqref="M31">
      <formula1>-1000000000000000</formula1>
      <formula2>1000000000000000</formula2>
    </dataValidation>
    <dataValidation type="decimal" allowBlank="1" showInputMessage="1" showErrorMessage="1" error="Ввведеное значение неверно" sqref="F32">
      <formula1>-1000000000000000</formula1>
      <formula2>1000000000000000</formula2>
    </dataValidation>
    <dataValidation type="decimal" allowBlank="1" showInputMessage="1" showErrorMessage="1" error="Ввведеное значение неверно" sqref="H32">
      <formula1>-1000000000000000</formula1>
      <formula2>1000000000000000</formula2>
    </dataValidation>
    <dataValidation type="decimal" allowBlank="1" showInputMessage="1" showErrorMessage="1" error="Ввведеное значение неверно" sqref="J32">
      <formula1>-1000000000000000</formula1>
      <formula2>1000000000000000</formula2>
    </dataValidation>
    <dataValidation type="decimal" allowBlank="1" showInputMessage="1" showErrorMessage="1" error="Ввведеное значение неверно" sqref="K32">
      <formula1>-1000000000000000</formula1>
      <formula2>1000000000000000</formula2>
    </dataValidation>
    <dataValidation type="decimal" allowBlank="1" showInputMessage="1" showErrorMessage="1" error="Ввведеное значение неверно" sqref="L32">
      <formula1>-1000000000000000</formula1>
      <formula2>1000000000000000</formula2>
    </dataValidation>
    <dataValidation type="decimal" allowBlank="1" showInputMessage="1" showErrorMessage="1" error="Ввведеное значение неверно" sqref="M32">
      <formula1>-1000000000000000</formula1>
      <formula2>1000000000000000</formula2>
    </dataValidation>
    <dataValidation type="decimal" allowBlank="1" showInputMessage="1" showErrorMessage="1" error="Ввведеное значение неверно" sqref="F33">
      <formula1>-1000000000000000</formula1>
      <formula2>1000000000000000</formula2>
    </dataValidation>
    <dataValidation type="decimal" allowBlank="1" showInputMessage="1" showErrorMessage="1" error="Ввведеное значение неверно" sqref="H33">
      <formula1>-1000000000000000</formula1>
      <formula2>1000000000000000</formula2>
    </dataValidation>
    <dataValidation type="decimal" allowBlank="1" showInputMessage="1" showErrorMessage="1" error="Ввведеное значение неверно" sqref="J33">
      <formula1>-1000000000000000</formula1>
      <formula2>1000000000000000</formula2>
    </dataValidation>
    <dataValidation type="decimal" allowBlank="1" showInputMessage="1" showErrorMessage="1" error="Ввведеное значение неверно" sqref="K33">
      <formula1>-1000000000000000</formula1>
      <formula2>1000000000000000</formula2>
    </dataValidation>
    <dataValidation type="decimal" allowBlank="1" showInputMessage="1" showErrorMessage="1" error="Ввведеное значение неверно" sqref="L33">
      <formula1>-1000000000000000</formula1>
      <formula2>1000000000000000</formula2>
    </dataValidation>
    <dataValidation type="decimal" allowBlank="1" showInputMessage="1" showErrorMessage="1" error="Ввведеное значение неверно" sqref="M33">
      <formula1>-1000000000000000</formula1>
      <formula2>1000000000000000</formula2>
    </dataValidation>
    <dataValidation type="decimal" allowBlank="1" showInputMessage="1" showErrorMessage="1" error="Ввведеное значение неверно" sqref="F34">
      <formula1>-1000000000000000</formula1>
      <formula2>1000000000000000</formula2>
    </dataValidation>
    <dataValidation type="decimal" allowBlank="1" showInputMessage="1" showErrorMessage="1" error="Ввведеное значение неверно" sqref="H34">
      <formula1>-1000000000000000</formula1>
      <formula2>1000000000000000</formula2>
    </dataValidation>
    <dataValidation type="decimal" allowBlank="1" showInputMessage="1" showErrorMessage="1" error="Ввведеное значение неверно" sqref="J34">
      <formula1>-1000000000000000</formula1>
      <formula2>1000000000000000</formula2>
    </dataValidation>
    <dataValidation type="decimal" allowBlank="1" showInputMessage="1" showErrorMessage="1" error="Ввведеное значение неверно" sqref="K34">
      <formula1>-1000000000000000</formula1>
      <formula2>1000000000000000</formula2>
    </dataValidation>
    <dataValidation type="decimal" allowBlank="1" showInputMessage="1" showErrorMessage="1" error="Ввведеное значение неверно" sqref="L34">
      <formula1>-1000000000000000</formula1>
      <formula2>1000000000000000</formula2>
    </dataValidation>
    <dataValidation type="decimal" allowBlank="1" showInputMessage="1" showErrorMessage="1" error="Ввведеное значение неверно" sqref="M34">
      <formula1>-1000000000000000</formula1>
      <formula2>1000000000000000</formula2>
    </dataValidation>
    <dataValidation type="decimal" allowBlank="1" showInputMessage="1" showErrorMessage="1" error="Ввведеное значение неверно" sqref="F35">
      <formula1>-1000000000000000</formula1>
      <formula2>1000000000000000</formula2>
    </dataValidation>
    <dataValidation type="decimal" allowBlank="1" showInputMessage="1" showErrorMessage="1" error="Ввведеное значение неверно" sqref="H35">
      <formula1>-1000000000000000</formula1>
      <formula2>1000000000000000</formula2>
    </dataValidation>
    <dataValidation type="decimal" allowBlank="1" showInputMessage="1" showErrorMessage="1" error="Ввведеное значение неверно" sqref="J35">
      <formula1>-1000000000000000</formula1>
      <formula2>1000000000000000</formula2>
    </dataValidation>
    <dataValidation type="decimal" allowBlank="1" showInputMessage="1" showErrorMessage="1" error="Ввведеное значение неверно" sqref="K35">
      <formula1>-1000000000000000</formula1>
      <formula2>1000000000000000</formula2>
    </dataValidation>
    <dataValidation type="decimal" allowBlank="1" showInputMessage="1" showErrorMessage="1" error="Ввведеное значение неверно" sqref="L35">
      <formula1>-1000000000000000</formula1>
      <formula2>1000000000000000</formula2>
    </dataValidation>
    <dataValidation type="decimal" allowBlank="1" showInputMessage="1" showErrorMessage="1" error="Ввведеное значение неверно" sqref="M35">
      <formula1>-1000000000000000</formula1>
      <formula2>1000000000000000</formula2>
    </dataValidation>
    <dataValidation type="decimal" allowBlank="1" showInputMessage="1" showErrorMessage="1" error="Ввведеное значение неверно" sqref="F36">
      <formula1>-1000000000000000</formula1>
      <formula2>1000000000000000</formula2>
    </dataValidation>
    <dataValidation type="decimal" allowBlank="1" showInputMessage="1" showErrorMessage="1" error="Ввведеное значение неверно" sqref="H36">
      <formula1>-1000000000000000</formula1>
      <formula2>1000000000000000</formula2>
    </dataValidation>
    <dataValidation type="decimal" allowBlank="1" showInputMessage="1" showErrorMessage="1" error="Ввведеное значение неверно" sqref="J36">
      <formula1>-1000000000000000</formula1>
      <formula2>1000000000000000</formula2>
    </dataValidation>
    <dataValidation type="decimal" allowBlank="1" showInputMessage="1" showErrorMessage="1" error="Ввведеное значение неверно" sqref="K36">
      <formula1>-1000000000000000</formula1>
      <formula2>1000000000000000</formula2>
    </dataValidation>
    <dataValidation type="decimal" allowBlank="1" showInputMessage="1" showErrorMessage="1" error="Ввведеное значение неверно" sqref="L36">
      <formula1>-1000000000000000</formula1>
      <formula2>1000000000000000</formula2>
    </dataValidation>
    <dataValidation type="decimal" allowBlank="1" showInputMessage="1" showErrorMessage="1" error="Ввведеное значение неверно" sqref="M36">
      <formula1>-1000000000000000</formula1>
      <formula2>1000000000000000</formula2>
    </dataValidation>
    <dataValidation type="decimal" allowBlank="1" showInputMessage="1" showErrorMessage="1" error="Ввведеное значение неверно" sqref="F39">
      <formula1>-1000000000000000</formula1>
      <formula2>1000000000000000</formula2>
    </dataValidation>
    <dataValidation type="decimal" allowBlank="1" showInputMessage="1" showErrorMessage="1" error="Ввведеное значение неверно" sqref="H39">
      <formula1>-1000000000000000</formula1>
      <formula2>1000000000000000</formula2>
    </dataValidation>
    <dataValidation type="decimal" allowBlank="1" showInputMessage="1" showErrorMessage="1" error="Ввведеное значение неверно" sqref="J39">
      <formula1>-1000000000000000</formula1>
      <formula2>1000000000000000</formula2>
    </dataValidation>
    <dataValidation type="decimal" allowBlank="1" showInputMessage="1" showErrorMessage="1" error="Ввведеное значение неверно" sqref="K39">
      <formula1>-1000000000000000</formula1>
      <formula2>1000000000000000</formula2>
    </dataValidation>
    <dataValidation type="decimal" allowBlank="1" showInputMessage="1" showErrorMessage="1" error="Ввведеное значение неверно" sqref="L39">
      <formula1>-1000000000000000</formula1>
      <formula2>1000000000000000</formula2>
    </dataValidation>
    <dataValidation type="decimal" allowBlank="1" showInputMessage="1" showErrorMessage="1" error="Ввведеное значение неверно" sqref="M39">
      <formula1>-1000000000000000</formula1>
      <formula2>1000000000000000</formula2>
    </dataValidation>
    <dataValidation type="decimal" allowBlank="1" showInputMessage="1" showErrorMessage="1" error="Ввведеное значение неверно" sqref="F40">
      <formula1>-1000000000000000</formula1>
      <formula2>1000000000000000</formula2>
    </dataValidation>
    <dataValidation type="decimal" allowBlank="1" showInputMessage="1" showErrorMessage="1" error="Ввведеное значение неверно" sqref="H40">
      <formula1>-1000000000000000</formula1>
      <formula2>1000000000000000</formula2>
    </dataValidation>
    <dataValidation type="decimal" allowBlank="1" showInputMessage="1" showErrorMessage="1" error="Ввведеное значение неверно" sqref="J40">
      <formula1>-1000000000000000</formula1>
      <formula2>1000000000000000</formula2>
    </dataValidation>
    <dataValidation type="decimal" allowBlank="1" showInputMessage="1" showErrorMessage="1" error="Ввведеное значение неверно" sqref="K40">
      <formula1>-1000000000000000</formula1>
      <formula2>1000000000000000</formula2>
    </dataValidation>
    <dataValidation type="decimal" allowBlank="1" showInputMessage="1" showErrorMessage="1" error="Ввведеное значение неверно" sqref="L40">
      <formula1>-1000000000000000</formula1>
      <formula2>1000000000000000</formula2>
    </dataValidation>
    <dataValidation type="decimal" allowBlank="1" showInputMessage="1" showErrorMessage="1" error="Ввведеное значение неверно" sqref="M40">
      <formula1>-1000000000000000</formula1>
      <formula2>1000000000000000</formula2>
    </dataValidation>
    <dataValidation type="decimal" allowBlank="1" showInputMessage="1" showErrorMessage="1" error="Ввведеное значение неверно" sqref="F41">
      <formula1>-1000000000000000</formula1>
      <formula2>1000000000000000</formula2>
    </dataValidation>
    <dataValidation type="decimal" allowBlank="1" showInputMessage="1" showErrorMessage="1" error="Ввведеное значение неверно" sqref="H41">
      <formula1>-1000000000000000</formula1>
      <formula2>1000000000000000</formula2>
    </dataValidation>
    <dataValidation type="decimal" allowBlank="1" showInputMessage="1" showErrorMessage="1" error="Ввведеное значение неверно" sqref="J41">
      <formula1>-1000000000000000</formula1>
      <formula2>1000000000000000</formula2>
    </dataValidation>
    <dataValidation type="decimal" allowBlank="1" showInputMessage="1" showErrorMessage="1" error="Ввведеное значение неверно" sqref="K41">
      <formula1>-1000000000000000</formula1>
      <formula2>1000000000000000</formula2>
    </dataValidation>
    <dataValidation type="decimal" allowBlank="1" showInputMessage="1" showErrorMessage="1" error="Ввведеное значение неверно" sqref="L41">
      <formula1>-1000000000000000</formula1>
      <formula2>1000000000000000</formula2>
    </dataValidation>
    <dataValidation type="decimal" allowBlank="1" showInputMessage="1" showErrorMessage="1" error="Ввведеное значение неверно" sqref="M41">
      <formula1>-1000000000000000</formula1>
      <formula2>1000000000000000</formula2>
    </dataValidation>
    <dataValidation type="decimal" allowBlank="1" showInputMessage="1" showErrorMessage="1" error="Ввведеное значение неверно" sqref="F43">
      <formula1>-1000000000000000</formula1>
      <formula2>1000000000000000</formula2>
    </dataValidation>
    <dataValidation type="decimal" allowBlank="1" showInputMessage="1" showErrorMessage="1" error="Ввведеное значение неверно" sqref="H43">
      <formula1>-1000000000000000</formula1>
      <formula2>1000000000000000</formula2>
    </dataValidation>
    <dataValidation type="decimal" allowBlank="1" showInputMessage="1" showErrorMessage="1" error="Ввведеное значение неверно" sqref="J43">
      <formula1>-1000000000000000</formula1>
      <formula2>1000000000000000</formula2>
    </dataValidation>
    <dataValidation type="decimal" allowBlank="1" showInputMessage="1" showErrorMessage="1" error="Ввведеное значение неверно" sqref="K43">
      <formula1>-1000000000000000</formula1>
      <formula2>1000000000000000</formula2>
    </dataValidation>
    <dataValidation type="decimal" allowBlank="1" showInputMessage="1" showErrorMessage="1" error="Ввведеное значение неверно" sqref="L43">
      <formula1>-1000000000000000</formula1>
      <formula2>1000000000000000</formula2>
    </dataValidation>
    <dataValidation type="decimal" allowBlank="1" showInputMessage="1" showErrorMessage="1" error="Ввведеное значение неверно" sqref="M43">
      <formula1>-1000000000000000</formula1>
      <formula2>1000000000000000</formula2>
    </dataValidation>
    <dataValidation type="decimal" allowBlank="1" showInputMessage="1" showErrorMessage="1" error="Ввведеное значение неверно" sqref="F44">
      <formula1>-1000000000000000</formula1>
      <formula2>1000000000000000</formula2>
    </dataValidation>
    <dataValidation type="decimal" allowBlank="1" showInputMessage="1" showErrorMessage="1" error="Ввведеное значение неверно" sqref="H44">
      <formula1>-1000000000000000</formula1>
      <formula2>1000000000000000</formula2>
    </dataValidation>
    <dataValidation type="decimal" allowBlank="1" showInputMessage="1" showErrorMessage="1" error="Ввведеное значение неверно" sqref="J44">
      <formula1>-1000000000000000</formula1>
      <formula2>1000000000000000</formula2>
    </dataValidation>
    <dataValidation type="decimal" allowBlank="1" showInputMessage="1" showErrorMessage="1" error="Ввведеное значение неверно" sqref="K44">
      <formula1>-1000000000000000</formula1>
      <formula2>1000000000000000</formula2>
    </dataValidation>
    <dataValidation type="decimal" allowBlank="1" showInputMessage="1" showErrorMessage="1" error="Ввведеное значение неверно" sqref="L44">
      <formula1>-1000000000000000</formula1>
      <formula2>1000000000000000</formula2>
    </dataValidation>
    <dataValidation type="decimal" allowBlank="1" showInputMessage="1" showErrorMessage="1" error="Ввведеное значение неверно" sqref="M44">
      <formula1>-1000000000000000</formula1>
      <formula2>1000000000000000</formula2>
    </dataValidation>
    <dataValidation type="decimal" allowBlank="1" showInputMessage="1" showErrorMessage="1" error="Ввведеное значение неверно" sqref="F45">
      <formula1>-1000000000000000</formula1>
      <formula2>1000000000000000</formula2>
    </dataValidation>
    <dataValidation type="decimal" allowBlank="1" showInputMessage="1" showErrorMessage="1" error="Ввведеное значение неверно" sqref="H45">
      <formula1>-1000000000000000</formula1>
      <formula2>1000000000000000</formula2>
    </dataValidation>
    <dataValidation type="decimal" allowBlank="1" showInputMessage="1" showErrorMessage="1" error="Ввведеное значение неверно" sqref="J45">
      <formula1>-1000000000000000</formula1>
      <formula2>1000000000000000</formula2>
    </dataValidation>
    <dataValidation type="decimal" allowBlank="1" showInputMessage="1" showErrorMessage="1" error="Ввведеное значение неверно" sqref="K45">
      <formula1>-1000000000000000</formula1>
      <formula2>1000000000000000</formula2>
    </dataValidation>
    <dataValidation type="decimal" allowBlank="1" showInputMessage="1" showErrorMessage="1" error="Ввведеное значение неверно" sqref="L45">
      <formula1>-1000000000000000</formula1>
      <formula2>1000000000000000</formula2>
    </dataValidation>
    <dataValidation type="decimal" allowBlank="1" showInputMessage="1" showErrorMessage="1" error="Ввведеное значение неверно" sqref="M45">
      <formula1>-1000000000000000</formula1>
      <formula2>1000000000000000</formula2>
    </dataValidation>
    <dataValidation type="decimal" allowBlank="1" showInputMessage="1" showErrorMessage="1" error="Ввведеное значение неверно" sqref="F46">
      <formula1>-1000000000000000</formula1>
      <formula2>1000000000000000</formula2>
    </dataValidation>
    <dataValidation type="decimal" allowBlank="1" showInputMessage="1" showErrorMessage="1" error="Ввведеное значение неверно" sqref="H46">
      <formula1>-1000000000000000</formula1>
      <formula2>1000000000000000</formula2>
    </dataValidation>
    <dataValidation type="decimal" allowBlank="1" showInputMessage="1" showErrorMessage="1" error="Ввведеное значение неверно" sqref="J46">
      <formula1>-1000000000000000</formula1>
      <formula2>1000000000000000</formula2>
    </dataValidation>
    <dataValidation type="decimal" allowBlank="1" showInputMessage="1" showErrorMessage="1" error="Ввведеное значение неверно" sqref="K46">
      <formula1>-1000000000000000</formula1>
      <formula2>1000000000000000</formula2>
    </dataValidation>
    <dataValidation type="decimal" allowBlank="1" showInputMessage="1" showErrorMessage="1" error="Ввведеное значение неверно" sqref="L46">
      <formula1>-1000000000000000</formula1>
      <formula2>1000000000000000</formula2>
    </dataValidation>
    <dataValidation type="decimal" allowBlank="1" showInputMessage="1" showErrorMessage="1" error="Ввведеное значение неверно" sqref="M46">
      <formula1>-1000000000000000</formula1>
      <formula2>1000000000000000</formula2>
    </dataValidation>
    <dataValidation type="decimal" allowBlank="1" showInputMessage="1" showErrorMessage="1" error="Ввведеное значение неверно" sqref="F47">
      <formula1>-1000000000000000</formula1>
      <formula2>1000000000000000</formula2>
    </dataValidation>
    <dataValidation type="decimal" allowBlank="1" showInputMessage="1" showErrorMessage="1" error="Ввведеное значение неверно" sqref="H47">
      <formula1>-1000000000000000</formula1>
      <formula2>1000000000000000</formula2>
    </dataValidation>
    <dataValidation type="decimal" allowBlank="1" showInputMessage="1" showErrorMessage="1" error="Ввведеное значение неверно" sqref="J47">
      <formula1>-1000000000000000</formula1>
      <formula2>1000000000000000</formula2>
    </dataValidation>
    <dataValidation type="decimal" allowBlank="1" showInputMessage="1" showErrorMessage="1" error="Ввведеное значение неверно" sqref="K47">
      <formula1>-1000000000000000</formula1>
      <formula2>1000000000000000</formula2>
    </dataValidation>
    <dataValidation type="decimal" allowBlank="1" showInputMessage="1" showErrorMessage="1" error="Ввведеное значение неверно" sqref="L47">
      <formula1>-1000000000000000</formula1>
      <formula2>1000000000000000</formula2>
    </dataValidation>
    <dataValidation type="decimal" allowBlank="1" showInputMessage="1" showErrorMessage="1" error="Ввведеное значение неверно" sqref="M47">
      <formula1>-1000000000000000</formula1>
      <formula2>1000000000000000</formula2>
    </dataValidation>
    <dataValidation type="decimal" allowBlank="1" showInputMessage="1" showErrorMessage="1" error="Ввведеное значение неверно" sqref="F48">
      <formula1>-1000000000000000</formula1>
      <formula2>1000000000000000</formula2>
    </dataValidation>
    <dataValidation type="decimal" allowBlank="1" showInputMessage="1" showErrorMessage="1" error="Ввведеное значение неверно" sqref="H48">
      <formula1>-1000000000000000</formula1>
      <formula2>1000000000000000</formula2>
    </dataValidation>
    <dataValidation type="decimal" allowBlank="1" showInputMessage="1" showErrorMessage="1" error="Ввведеное значение неверно" sqref="J48">
      <formula1>-1000000000000000</formula1>
      <formula2>1000000000000000</formula2>
    </dataValidation>
    <dataValidation type="decimal" allowBlank="1" showInputMessage="1" showErrorMessage="1" error="Ввведеное значение неверно" sqref="K48">
      <formula1>-1000000000000000</formula1>
      <formula2>1000000000000000</formula2>
    </dataValidation>
    <dataValidation type="decimal" allowBlank="1" showInputMessage="1" showErrorMessage="1" error="Ввведеное значение неверно" sqref="L48">
      <formula1>-1000000000000000</formula1>
      <formula2>1000000000000000</formula2>
    </dataValidation>
    <dataValidation type="decimal" allowBlank="1" showInputMessage="1" showErrorMessage="1" error="Ввведеное значение неверно" sqref="M48">
      <formula1>-1000000000000000</formula1>
      <formula2>1000000000000000</formula2>
    </dataValidation>
    <dataValidation type="decimal" allowBlank="1" showInputMessage="1" showErrorMessage="1" error="Ввведеное значение неверно" sqref="F49">
      <formula1>-1000000000000000</formula1>
      <formula2>1000000000000000</formula2>
    </dataValidation>
    <dataValidation type="decimal" allowBlank="1" showInputMessage="1" showErrorMessage="1" error="Ввведеное значение неверно" sqref="H49">
      <formula1>-1000000000000000</formula1>
      <formula2>1000000000000000</formula2>
    </dataValidation>
    <dataValidation type="decimal" allowBlank="1" showInputMessage="1" showErrorMessage="1" error="Ввведеное значение неверно" sqref="J49">
      <formula1>-1000000000000000</formula1>
      <formula2>1000000000000000</formula2>
    </dataValidation>
    <dataValidation type="decimal" allowBlank="1" showInputMessage="1" showErrorMessage="1" error="Ввведеное значение неверно" sqref="K49">
      <formula1>-1000000000000000</formula1>
      <formula2>1000000000000000</formula2>
    </dataValidation>
    <dataValidation type="decimal" allowBlank="1" showInputMessage="1" showErrorMessage="1" error="Ввведеное значение неверно" sqref="L49">
      <formula1>-1000000000000000</formula1>
      <formula2>1000000000000000</formula2>
    </dataValidation>
    <dataValidation type="decimal" allowBlank="1" showInputMessage="1" showErrorMessage="1" error="Ввведеное значение неверно" sqref="M49">
      <formula1>-1000000000000000</formula1>
      <formula2>1000000000000000</formula2>
    </dataValidation>
    <dataValidation type="decimal" allowBlank="1" showInputMessage="1" showErrorMessage="1" error="Ввведеное значение неверно" sqref="F50">
      <formula1>-1000000000000000</formula1>
      <formula2>1000000000000000</formula2>
    </dataValidation>
    <dataValidation type="decimal" allowBlank="1" showInputMessage="1" showErrorMessage="1" error="Ввведеное значение неверно" sqref="H50">
      <formula1>-1000000000000000</formula1>
      <formula2>1000000000000000</formula2>
    </dataValidation>
    <dataValidation type="decimal" allowBlank="1" showInputMessage="1" showErrorMessage="1" error="Ввведеное значение неверно" sqref="J50">
      <formula1>-1000000000000000</formula1>
      <formula2>1000000000000000</formula2>
    </dataValidation>
    <dataValidation type="decimal" allowBlank="1" showInputMessage="1" showErrorMessage="1" error="Ввведеное значение неверно" sqref="K50">
      <formula1>-1000000000000000</formula1>
      <formula2>1000000000000000</formula2>
    </dataValidation>
    <dataValidation type="decimal" allowBlank="1" showInputMessage="1" showErrorMessage="1" error="Ввведеное значение неверно" sqref="L50">
      <formula1>-1000000000000000</formula1>
      <formula2>1000000000000000</formula2>
    </dataValidation>
    <dataValidation type="decimal" allowBlank="1" showInputMessage="1" showErrorMessage="1" error="Ввведеное значение неверно" sqref="M50">
      <formula1>-1000000000000000</formula1>
      <formula2>1000000000000000</formula2>
    </dataValidation>
    <dataValidation type="decimal" allowBlank="1" showInputMessage="1" showErrorMessage="1" error="Ввведеное значение неверно" sqref="F51">
      <formula1>-1000000000000000</formula1>
      <formula2>1000000000000000</formula2>
    </dataValidation>
    <dataValidation type="decimal" allowBlank="1" showInputMessage="1" showErrorMessage="1" error="Ввведеное значение неверно" sqref="H51">
      <formula1>-1000000000000000</formula1>
      <formula2>1000000000000000</formula2>
    </dataValidation>
    <dataValidation type="decimal" allowBlank="1" showInputMessage="1" showErrorMessage="1" error="Ввведеное значение неверно" sqref="J51">
      <formula1>-1000000000000000</formula1>
      <formula2>1000000000000000</formula2>
    </dataValidation>
    <dataValidation type="decimal" allowBlank="1" showInputMessage="1" showErrorMessage="1" error="Ввведеное значение неверно" sqref="K51">
      <formula1>-1000000000000000</formula1>
      <formula2>1000000000000000</formula2>
    </dataValidation>
    <dataValidation type="decimal" allowBlank="1" showInputMessage="1" showErrorMessage="1" error="Ввведеное значение неверно" sqref="L51">
      <formula1>-1000000000000000</formula1>
      <formula2>1000000000000000</formula2>
    </dataValidation>
    <dataValidation type="decimal" allowBlank="1" showInputMessage="1" showErrorMessage="1" error="Ввведеное значение неверно" sqref="M51">
      <formula1>-1000000000000000</formula1>
      <formula2>1000000000000000</formula2>
    </dataValidation>
    <dataValidation type="decimal" allowBlank="1" showInputMessage="1" showErrorMessage="1" error="Ввведеное значение неверно" sqref="F54">
      <formula1>-1000000000000000</formula1>
      <formula2>1000000000000000</formula2>
    </dataValidation>
    <dataValidation type="decimal" allowBlank="1" showInputMessage="1" showErrorMessage="1" error="Ввведеное значение неверно" sqref="H54">
      <formula1>-1000000000000000</formula1>
      <formula2>1000000000000000</formula2>
    </dataValidation>
    <dataValidation type="decimal" allowBlank="1" showInputMessage="1" showErrorMessage="1" error="Ввведеное значение неверно" sqref="F55">
      <formula1>-1000000000000000</formula1>
      <formula2>1000000000000000</formula2>
    </dataValidation>
    <dataValidation type="decimal" allowBlank="1" showInputMessage="1" showErrorMessage="1" error="Ввведеное значение неверно" sqref="H55">
      <formula1>-1000000000000000</formula1>
      <formula2>1000000000000000</formula2>
    </dataValidation>
    <dataValidation type="decimal" allowBlank="1" showInputMessage="1" showErrorMessage="1" error="Ввведеное значение неверно" sqref="F56">
      <formula1>-1000000000000000</formula1>
      <formula2>1000000000000000</formula2>
    </dataValidation>
    <dataValidation type="decimal" allowBlank="1" showInputMessage="1" showErrorMessage="1" error="Ввведеное значение неверно" sqref="H56">
      <formula1>-1000000000000000</formula1>
      <formula2>1000000000000000</formula2>
    </dataValidation>
    <dataValidation type="decimal" allowBlank="1" showInputMessage="1" showErrorMessage="1" error="Ввведеное значение неверно" sqref="F58">
      <formula1>-1000000000000000</formula1>
      <formula2>1000000000000000</formula2>
    </dataValidation>
    <dataValidation type="decimal" allowBlank="1" showInputMessage="1" showErrorMessage="1" error="Ввведеное значение неверно" sqref="H58">
      <formula1>-1000000000000000</formula1>
      <formula2>1000000000000000</formula2>
    </dataValidation>
    <dataValidation type="decimal" allowBlank="1" showInputMessage="1" showErrorMessage="1" error="Ввведеное значение неверно" sqref="F59">
      <formula1>-1000000000000000</formula1>
      <formula2>1000000000000000</formula2>
    </dataValidation>
    <dataValidation type="decimal" allowBlank="1" showInputMessage="1" showErrorMessage="1" error="Ввведеное значение неверно" sqref="H59">
      <formula1>-1000000000000000</formula1>
      <formula2>1000000000000000</formula2>
    </dataValidation>
    <dataValidation type="decimal" allowBlank="1" showInputMessage="1" showErrorMessage="1" error="Ввведеное значение неверно" sqref="F60">
      <formula1>-1000000000000000</formula1>
      <formula2>1000000000000000</formula2>
    </dataValidation>
    <dataValidation type="decimal" allowBlank="1" showInputMessage="1" showErrorMessage="1" error="Ввведеное значение неверно" sqref="H60">
      <formula1>-1000000000000000</formula1>
      <formula2>1000000000000000</formula2>
    </dataValidation>
    <dataValidation type="decimal" allowBlank="1" showInputMessage="1" showErrorMessage="1" error="Ввведеное значение неверно" sqref="H61">
      <formula1>-1000000000000000</formula1>
      <formula2>1000000000000000</formula2>
    </dataValidation>
    <dataValidation type="decimal" allowBlank="1" showInputMessage="1" showErrorMessage="1" error="Ввведеное значение неверно" sqref="F62">
      <formula1>-1000000000000000</formula1>
      <formula2>1000000000000000</formula2>
    </dataValidation>
    <dataValidation type="decimal" allowBlank="1" showInputMessage="1" showErrorMessage="1" error="Ввведеное значение неверно" sqref="H62">
      <formula1>-1000000000000000</formula1>
      <formula2>1000000000000000</formula2>
    </dataValidation>
    <dataValidation type="decimal" allowBlank="1" showInputMessage="1" showErrorMessage="1" error="Ввведеное значение неверно" sqref="F63">
      <formula1>-1000000000000000</formula1>
      <formula2>1000000000000000</formula2>
    </dataValidation>
    <dataValidation type="decimal" allowBlank="1" showInputMessage="1" showErrorMessage="1" error="Ввведеное значение неверно" sqref="H63">
      <formula1>-1000000000000000</formula1>
      <formula2>1000000000000000</formula2>
    </dataValidation>
    <dataValidation type="decimal" allowBlank="1" showInputMessage="1" showErrorMessage="1" error="Ввведеное значение неверно" sqref="F64 F61">
      <formula1>-1000000000000000</formula1>
      <formula2>1000000000000000</formula2>
    </dataValidation>
    <dataValidation type="decimal" allowBlank="1" showInputMessage="1" showErrorMessage="1" error="Ввведеное значение неверно" sqref="H64">
      <formula1>-1000000000000000</formula1>
      <formula2>1000000000000000</formula2>
    </dataValidation>
    <dataValidation type="decimal" allowBlank="1" showInputMessage="1" showErrorMessage="1" error="Ввведеное значение неверно" sqref="F65">
      <formula1>-1000000000000000</formula1>
      <formula2>1000000000000000</formula2>
    </dataValidation>
    <dataValidation type="decimal" allowBlank="1" showInputMessage="1" showErrorMessage="1" error="Ввведеное значение неверно" sqref="H65">
      <formula1>-1000000000000000</formula1>
      <formula2>1000000000000000</formula2>
    </dataValidation>
    <dataValidation type="decimal" allowBlank="1" showInputMessage="1" showErrorMessage="1" error="Ввведеное значение неверно" sqref="F66">
      <formula1>-1000000000000000</formula1>
      <formula2>1000000000000000</formula2>
    </dataValidation>
    <dataValidation type="decimal" allowBlank="1" showInputMessage="1" showErrorMessage="1" error="Ввведеное значение неверно" sqref="H66">
      <formula1>-1000000000000000</formula1>
      <formula2>1000000000000000</formula2>
    </dataValidation>
    <dataValidation type="decimal" allowBlank="1" showInputMessage="1" showErrorMessage="1" error="Ввведеное значение неверно" sqref="F69">
      <formula1>-1000000000000000</formula1>
      <formula2>1000000000000000</formula2>
    </dataValidation>
    <dataValidation type="decimal" allowBlank="1" showInputMessage="1" showErrorMessage="1" error="Ввведеное значение неверно" sqref="H69:I69">
      <formula1>-1000000000000000</formula1>
      <formula2>1000000000000000</formula2>
    </dataValidation>
    <dataValidation type="decimal" allowBlank="1" showInputMessage="1" showErrorMessage="1" error="Ввведеное значение неверно" sqref="J69:M69">
      <formula1>-1000000000000000</formula1>
      <formula2>1000000000000000</formula2>
    </dataValidation>
    <dataValidation type="decimal" allowBlank="1" showInputMessage="1" showErrorMessage="1" error="Ввведеное значение неверно" sqref="F70">
      <formula1>-1000000000000000</formula1>
      <formula2>1000000000000000</formula2>
    </dataValidation>
    <dataValidation type="decimal" allowBlank="1" showInputMessage="1" showErrorMessage="1" error="Ввведеное значение неверно" sqref="H70:I70">
      <formula1>-1000000000000000</formula1>
      <formula2>1000000000000000</formula2>
    </dataValidation>
    <dataValidation type="decimal" allowBlank="1" showInputMessage="1" showErrorMessage="1" error="Ввведеное значение неверно" sqref="J70:M70">
      <formula1>-1000000000000000</formula1>
      <formula2>1000000000000000</formula2>
    </dataValidation>
    <dataValidation type="decimal" allowBlank="1" showInputMessage="1" showErrorMessage="1" error="Ввведеное значение неверно" sqref="F71:F73">
      <formula1>-1000000000000000</formula1>
      <formula2>1000000000000000</formula2>
    </dataValidation>
    <dataValidation type="decimal" allowBlank="1" showInputMessage="1" showErrorMessage="1" error="Ввведеное значение неверно" sqref="H71:I71">
      <formula1>-1000000000000000</formula1>
      <formula2>1000000000000000</formula2>
    </dataValidation>
    <dataValidation type="decimal" allowBlank="1" showInputMessage="1" showErrorMessage="1" error="Ввведеное значение неверно" sqref="J71">
      <formula1>-1000000000000000</formula1>
      <formula2>1000000000000000</formula2>
    </dataValidation>
    <dataValidation type="decimal" allowBlank="1" showInputMessage="1" showErrorMessage="1" error="Ввведеное значение неверно" sqref="K71">
      <formula1>-1000000000000000</formula1>
      <formula2>1000000000000000</formula2>
    </dataValidation>
    <dataValidation type="decimal" allowBlank="1" showInputMessage="1" showErrorMessage="1" error="Ввведеное значение неверно" sqref="L71">
      <formula1>-1000000000000000</formula1>
      <formula2>1000000000000000</formula2>
    </dataValidation>
    <dataValidation type="decimal" allowBlank="1" showInputMessage="1" showErrorMessage="1" error="Ввведеное значение неверно" sqref="M71">
      <formula1>-1000000000000000</formula1>
      <formula2>1000000000000000</formula2>
    </dataValidation>
    <dataValidation type="decimal" allowBlank="1" showInputMessage="1" showErrorMessage="1" error="Ввведеное значение неверно" sqref="I72:I73">
      <formula1>-1000000000000000</formula1>
      <formula2>1000000000000000</formula2>
    </dataValidation>
    <dataValidation type="decimal" allowBlank="1" showInputMessage="1" showErrorMessage="1" error="Ввведеное значение неверно" sqref="J72:M73">
      <formula1>-1000000000000000</formula1>
      <formula2>1000000000000000</formula2>
    </dataValidation>
    <dataValidation type="decimal" allowBlank="1" showInputMessage="1" showErrorMessage="1" error="Ввведеное значение неверно" sqref="H72:H73">
      <formula1>-1000000000000000</formula1>
      <formula2>1000000000000000</formula2>
    </dataValidation>
    <dataValidation type="decimal" allowBlank="1" showInputMessage="1" showErrorMessage="1" error="Ввведеное значение неверно" sqref="F74">
      <formula1>-1000000000000000</formula1>
      <formula2>1000000000000000</formula2>
    </dataValidation>
    <dataValidation type="decimal" allowBlank="1" showInputMessage="1" showErrorMessage="1" error="Ввведеное значение неверно" sqref="H74:I74">
      <formula1>-1000000000000000</formula1>
      <formula2>1000000000000000</formula2>
    </dataValidation>
    <dataValidation type="decimal" allowBlank="1" showInputMessage="1" showErrorMessage="1" error="Ввведеное значение неверно" sqref="J74">
      <formula1>-1000000000000000</formula1>
      <formula2>1000000000000000</formula2>
    </dataValidation>
    <dataValidation type="decimal" allowBlank="1" showInputMessage="1" showErrorMessage="1" error="Ввведеное значение неверно" sqref="K74">
      <formula1>-1000000000000000</formula1>
      <formula2>1000000000000000</formula2>
    </dataValidation>
    <dataValidation type="decimal" allowBlank="1" showInputMessage="1" showErrorMessage="1" error="Ввведеное значение неверно" sqref="L74">
      <formula1>-1000000000000000</formula1>
      <formula2>1000000000000000</formula2>
    </dataValidation>
    <dataValidation type="decimal" allowBlank="1" showInputMessage="1" showErrorMessage="1" error="Ввведеное значение неверно" sqref="M74">
      <formula1>-1000000000000000</formula1>
      <formula2>1000000000000000</formula2>
    </dataValidation>
    <dataValidation type="decimal" allowBlank="1" showInputMessage="1" showErrorMessage="1" error="Ввведеное значение неверно" sqref="F75">
      <formula1>-1000000000000000</formula1>
      <formula2>1000000000000000</formula2>
    </dataValidation>
    <dataValidation type="decimal" allowBlank="1" showInputMessage="1" showErrorMessage="1" error="Ввведеное значение неверно" sqref="H75:I75">
      <formula1>-1000000000000000</formula1>
      <formula2>1000000000000000</formula2>
    </dataValidation>
    <dataValidation type="decimal" allowBlank="1" showInputMessage="1" showErrorMessage="1" error="Ввведеное значение неверно" sqref="J75">
      <formula1>-1000000000000000</formula1>
      <formula2>1000000000000000</formula2>
    </dataValidation>
    <dataValidation type="decimal" allowBlank="1" showInputMessage="1" showErrorMessage="1" error="Ввведеное значение неверно" sqref="K75">
      <formula1>-1000000000000000</formula1>
      <formula2>1000000000000000</formula2>
    </dataValidation>
    <dataValidation type="decimal" allowBlank="1" showInputMessage="1" showErrorMessage="1" error="Ввведеное значение неверно" sqref="L75">
      <formula1>-1000000000000000</formula1>
      <formula2>1000000000000000</formula2>
    </dataValidation>
    <dataValidation type="decimal" allowBlank="1" showInputMessage="1" showErrorMessage="1" error="Ввведеное значение неверно" sqref="M75">
      <formula1>-1000000000000000</formula1>
      <formula2>1000000000000000</formula2>
    </dataValidation>
    <dataValidation type="decimal" allowBlank="1" showInputMessage="1" showErrorMessage="1" error="Ввведеное значение неверно" sqref="F76">
      <formula1>-1000000000000000</formula1>
      <formula2>1000000000000000</formula2>
    </dataValidation>
    <dataValidation type="decimal" allowBlank="1" showInputMessage="1" showErrorMessage="1" error="Ввведеное значение неверно" sqref="H76:I76">
      <formula1>-1000000000000000</formula1>
      <formula2>1000000000000000</formula2>
    </dataValidation>
    <dataValidation type="decimal" allowBlank="1" showInputMessage="1" showErrorMessage="1" error="Ввведеное значение неверно" sqref="J76">
      <formula1>-1000000000000000</formula1>
      <formula2>1000000000000000</formula2>
    </dataValidation>
    <dataValidation type="decimal" allowBlank="1" showInputMessage="1" showErrorMessage="1" error="Ввведеное значение неверно" sqref="K76">
      <formula1>-1000000000000000</formula1>
      <formula2>1000000000000000</formula2>
    </dataValidation>
    <dataValidation type="decimal" allowBlank="1" showInputMessage="1" showErrorMessage="1" error="Ввведеное значение неверно" sqref="L76">
      <formula1>-1000000000000000</formula1>
      <formula2>1000000000000000</formula2>
    </dataValidation>
    <dataValidation type="decimal" allowBlank="1" showInputMessage="1" showErrorMessage="1" error="Ввведеное значение неверно" sqref="M76">
      <formula1>-1000000000000000</formula1>
      <formula2>1000000000000000</formula2>
    </dataValidation>
    <dataValidation type="decimal" allowBlank="1" showInputMessage="1" showErrorMessage="1" error="Ввведеное значение неверно" sqref="F77">
      <formula1>-1000000000000000</formula1>
      <formula2>1000000000000000</formula2>
    </dataValidation>
    <dataValidation type="decimal" allowBlank="1" showInputMessage="1" showErrorMessage="1" error="Ввведеное значение неверно" sqref="H77:I77">
      <formula1>-1000000000000000</formula1>
      <formula2>1000000000000000</formula2>
    </dataValidation>
    <dataValidation type="decimal" allowBlank="1" showInputMessage="1" showErrorMessage="1" error="Ввведеное значение неверно" sqref="J77">
      <formula1>-1000000000000000</formula1>
      <formula2>1000000000000000</formula2>
    </dataValidation>
    <dataValidation type="decimal" allowBlank="1" showInputMessage="1" showErrorMessage="1" error="Ввведеное значение неверно" sqref="K77">
      <formula1>-1000000000000000</formula1>
      <formula2>1000000000000000</formula2>
    </dataValidation>
    <dataValidation type="decimal" allowBlank="1" showInputMessage="1" showErrorMessage="1" error="Ввведеное значение неверно" sqref="L77">
      <formula1>-1000000000000000</formula1>
      <formula2>1000000000000000</formula2>
    </dataValidation>
    <dataValidation type="decimal" allowBlank="1" showInputMessage="1" showErrorMessage="1" error="Ввведеное значение неверно" sqref="M77">
      <formula1>-1000000000000000</formula1>
      <formula2>1000000000000000</formula2>
    </dataValidation>
    <dataValidation type="decimal" allowBlank="1" showInputMessage="1" showErrorMessage="1" error="Ввведеное значение неверно" sqref="F78">
      <formula1>-1000000000000000</formula1>
      <formula2>1000000000000000</formula2>
    </dataValidation>
    <dataValidation type="decimal" allowBlank="1" showInputMessage="1" showErrorMessage="1" error="Ввведеное значение неверно" sqref="H78:I78">
      <formula1>-1000000000000000</formula1>
      <formula2>1000000000000000</formula2>
    </dataValidation>
    <dataValidation type="decimal" allowBlank="1" showInputMessage="1" showErrorMessage="1" error="Ввведеное значение неверно" sqref="J78:M78">
      <formula1>-1000000000000000</formula1>
      <formula2>1000000000000000</formula2>
    </dataValidation>
    <dataValidation type="decimal" allowBlank="1" showInputMessage="1" showErrorMessage="1" error="Ввведеное значение неверно" sqref="F79">
      <formula1>-1000000000000000</formula1>
      <formula2>1000000000000000</formula2>
    </dataValidation>
    <dataValidation type="decimal" allowBlank="1" showInputMessage="1" showErrorMessage="1" error="Ввведеное значение неверно" sqref="H79">
      <formula1>-1000000000000000</formula1>
      <formula2>1000000000000000</formula2>
    </dataValidation>
    <dataValidation type="decimal" allowBlank="1" showInputMessage="1" showErrorMessage="1" error="Ввведеное значение неверно" sqref="I79">
      <formula1>-1000000000000000</formula1>
      <formula2>1000000000000000</formula2>
    </dataValidation>
    <dataValidation type="decimal" allowBlank="1" showInputMessage="1" showErrorMessage="1" error="Ввведеное значение неверно" sqref="J79">
      <formula1>-1000000000000000</formula1>
      <formula2>1000000000000000</formula2>
    </dataValidation>
    <dataValidation type="decimal" allowBlank="1" showInputMessage="1" showErrorMessage="1" error="Ввведеное значение неверно" sqref="K79">
      <formula1>-1000000000000000</formula1>
      <formula2>1000000000000000</formula2>
    </dataValidation>
    <dataValidation type="decimal" allowBlank="1" showInputMessage="1" showErrorMessage="1" error="Ввведеное значение неверно" sqref="L79">
      <formula1>-1000000000000000</formula1>
      <formula2>1000000000000000</formula2>
    </dataValidation>
    <dataValidation type="decimal" allowBlank="1" showInputMessage="1" showErrorMessage="1" error="Ввведеное значение неверно" sqref="M79">
      <formula1>-1000000000000000</formula1>
      <formula2>1000000000000000</formula2>
    </dataValidation>
    <dataValidation type="decimal" allowBlank="1" showInputMessage="1" showErrorMessage="1" error="Ввведеное значение неверно" sqref="F80">
      <formula1>-1000000000000000</formula1>
      <formula2>1000000000000000</formula2>
    </dataValidation>
    <dataValidation type="decimal" allowBlank="1" showInputMessage="1" showErrorMessage="1" error="Ввведеное значение неверно" sqref="H80">
      <formula1>-1000000000000000</formula1>
      <formula2>1000000000000000</formula2>
    </dataValidation>
    <dataValidation type="decimal" allowBlank="1" showInputMessage="1" showErrorMessage="1" error="Ввведеное значение неверно" sqref="I80">
      <formula1>-1000000000000000</formula1>
      <formula2>1000000000000000</formula2>
    </dataValidation>
    <dataValidation type="decimal" allowBlank="1" showInputMessage="1" showErrorMessage="1" error="Ввведеное значение неверно" sqref="J80">
      <formula1>-1000000000000000</formula1>
      <formula2>1000000000000000</formula2>
    </dataValidation>
    <dataValidation type="decimal" allowBlank="1" showInputMessage="1" showErrorMessage="1" error="Ввведеное значение неверно" sqref="K80">
      <formula1>-1000000000000000</formula1>
      <formula2>1000000000000000</formula2>
    </dataValidation>
    <dataValidation type="decimal" allowBlank="1" showInputMessage="1" showErrorMessage="1" error="Ввведеное значение неверно" sqref="L80">
      <formula1>-1000000000000000</formula1>
      <formula2>1000000000000000</formula2>
    </dataValidation>
    <dataValidation type="decimal" allowBlank="1" showInputMessage="1" showErrorMessage="1" error="Ввведеное значение неверно" sqref="M80">
      <formula1>-1000000000000000</formula1>
      <formula2>1000000000000000</formula2>
    </dataValidation>
    <dataValidation type="decimal" allowBlank="1" showInputMessage="1" showErrorMessage="1" error="Ввведеное значение неверно" sqref="F81">
      <formula1>-1000000000000000</formula1>
      <formula2>1000000000000000</formula2>
    </dataValidation>
    <dataValidation type="decimal" allowBlank="1" showInputMessage="1" showErrorMessage="1" error="Ввведеное значение неверно" sqref="H81">
      <formula1>-1000000000000000</formula1>
      <formula2>1000000000000000</formula2>
    </dataValidation>
    <dataValidation type="decimal" allowBlank="1" showInputMessage="1" showErrorMessage="1" error="Ввведеное значение неверно" sqref="I81">
      <formula1>-1000000000000000</formula1>
      <formula2>1000000000000000</formula2>
    </dataValidation>
    <dataValidation type="decimal" allowBlank="1" showInputMessage="1" showErrorMessage="1" error="Ввведеное значение неверно" sqref="J81">
      <formula1>-1000000000000000</formula1>
      <formula2>1000000000000000</formula2>
    </dataValidation>
    <dataValidation type="decimal" allowBlank="1" showInputMessage="1" showErrorMessage="1" error="Ввведеное значение неверно" sqref="K81">
      <formula1>-1000000000000000</formula1>
      <formula2>1000000000000000</formula2>
    </dataValidation>
    <dataValidation type="decimal" allowBlank="1" showInputMessage="1" showErrorMessage="1" error="Ввведеное значение неверно" sqref="L81">
      <formula1>-1000000000000000</formula1>
      <formula2>1000000000000000</formula2>
    </dataValidation>
    <dataValidation type="decimal" allowBlank="1" showInputMessage="1" showErrorMessage="1" error="Ввведеное значение неверно" sqref="M81">
      <formula1>-1000000000000000</formula1>
      <formula2>1000000000000000</formula2>
    </dataValidation>
    <dataValidation type="decimal" allowBlank="1" showErrorMessage="1" error="Ввведеное значение неверно" sqref="G9:G11 G13:G18 G54:G56 G58:G63 G69:G78 E9:E11 E13:E18 E54:E56 E58:E63 E69:E78">
      <formula1>-1000000000000000</formula1>
      <formula2>1000000000000000</formula2>
    </dataValidation>
  </dataValidations>
  <printOptions/>
  <pageMargins left="0.6692913385826772" right="0.11811023622047245" top="0.2755905511811024" bottom="0.31496062992125984" header="0.11811023622047245" footer="0.2755905511811024"/>
  <pageSetup fitToHeight="2" fitToWidth="1" horizontalDpi="600" verticalDpi="600" orientation="landscape" paperSize="9" scale="81" r:id="rId1"/>
  <colBreaks count="1" manualBreakCount="1">
    <brk id="8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3"/>
  <dimension ref="A1:K36"/>
  <sheetViews>
    <sheetView zoomScale="80" zoomScaleNormal="80" zoomScalePageLayoutView="0" workbookViewId="0" topLeftCell="A2">
      <selection activeCell="B30" sqref="B30:F32"/>
    </sheetView>
  </sheetViews>
  <sheetFormatPr defaultColWidth="9.140625" defaultRowHeight="11.25"/>
  <cols>
    <col min="1" max="1" width="6.28125" style="0" customWidth="1"/>
    <col min="2" max="2" width="35.140625" style="0" bestFit="1" customWidth="1"/>
    <col min="3" max="3" width="16.00390625" style="0" hidden="1" customWidth="1"/>
    <col min="4" max="5" width="18.28125" style="0" customWidth="1"/>
    <col min="6" max="6" width="19.8515625" style="0" customWidth="1"/>
    <col min="7" max="9" width="18.28125" style="0" customWidth="1"/>
    <col min="10" max="10" width="9.57421875" style="0" bestFit="1" customWidth="1"/>
  </cols>
  <sheetData>
    <row r="1" spans="1:9" ht="12.75" hidden="1">
      <c r="A1" s="34" t="str">
        <f>Справочники!E13</f>
        <v>Мурманская область</v>
      </c>
      <c r="B1" s="241" t="str">
        <f>Справочники!D21</f>
        <v>МУП "Кировская горэлектросеть"</v>
      </c>
      <c r="I1" s="2" t="s">
        <v>384</v>
      </c>
    </row>
    <row r="2" spans="1:9" ht="37.5" customHeight="1">
      <c r="A2" s="158" t="s">
        <v>385</v>
      </c>
      <c r="B2" s="132"/>
      <c r="C2" s="132"/>
      <c r="D2" s="132"/>
      <c r="E2" s="132"/>
      <c r="F2" s="132"/>
      <c r="G2" s="132"/>
      <c r="H2" s="132"/>
      <c r="I2" s="132"/>
    </row>
    <row r="3" spans="1:9" ht="12" thickBot="1">
      <c r="A3" s="1"/>
      <c r="B3" s="1"/>
      <c r="C3" s="1"/>
      <c r="D3" s="1"/>
      <c r="E3" s="1"/>
      <c r="F3" s="1"/>
      <c r="G3" s="1"/>
      <c r="H3" s="1"/>
      <c r="I3" s="159" t="s">
        <v>386</v>
      </c>
    </row>
    <row r="4" spans="1:10" ht="45">
      <c r="A4" s="35" t="s">
        <v>86</v>
      </c>
      <c r="B4" s="36" t="s">
        <v>387</v>
      </c>
      <c r="C4" s="36"/>
      <c r="D4" s="36" t="s">
        <v>388</v>
      </c>
      <c r="E4" s="36" t="s">
        <v>389</v>
      </c>
      <c r="F4" s="36" t="s">
        <v>390</v>
      </c>
      <c r="G4" s="36" t="s">
        <v>391</v>
      </c>
      <c r="H4" s="36" t="s">
        <v>392</v>
      </c>
      <c r="I4" s="37" t="s">
        <v>393</v>
      </c>
      <c r="J4" s="1"/>
    </row>
    <row r="5" spans="1:10" ht="11.25" hidden="1">
      <c r="A5" s="69"/>
      <c r="B5" s="160"/>
      <c r="C5" s="160"/>
      <c r="D5" s="161" t="s">
        <v>77</v>
      </c>
      <c r="E5" s="161" t="s">
        <v>80</v>
      </c>
      <c r="F5" s="161" t="s">
        <v>124</v>
      </c>
      <c r="G5" s="161" t="s">
        <v>394</v>
      </c>
      <c r="H5" s="161" t="s">
        <v>395</v>
      </c>
      <c r="I5" s="164" t="s">
        <v>396</v>
      </c>
      <c r="J5" s="1"/>
    </row>
    <row r="6" spans="1:10" ht="12" thickBot="1">
      <c r="A6" s="49" t="s">
        <v>13</v>
      </c>
      <c r="B6" s="50" t="s">
        <v>150</v>
      </c>
      <c r="C6" s="50"/>
      <c r="D6" s="50" t="s">
        <v>14</v>
      </c>
      <c r="E6" s="50" t="s">
        <v>397</v>
      </c>
      <c r="F6" s="50" t="s">
        <v>398</v>
      </c>
      <c r="G6" s="50" t="s">
        <v>399</v>
      </c>
      <c r="H6" s="50" t="s">
        <v>400</v>
      </c>
      <c r="I6" s="51" t="s">
        <v>243</v>
      </c>
      <c r="J6" s="1"/>
    </row>
    <row r="7" spans="1:11" ht="11.25">
      <c r="A7" s="134" t="s">
        <v>13</v>
      </c>
      <c r="B7" s="136" t="s">
        <v>401</v>
      </c>
      <c r="C7" s="229" t="s">
        <v>402</v>
      </c>
      <c r="D7" s="52">
        <f aca="true" t="shared" si="0" ref="D7:I7">D8+D13</f>
        <v>3268.9700000000003</v>
      </c>
      <c r="E7" s="53">
        <f t="shared" si="0"/>
        <v>0</v>
      </c>
      <c r="F7" s="53">
        <f t="shared" si="0"/>
        <v>222.63400000000001</v>
      </c>
      <c r="G7" s="53">
        <f t="shared" si="0"/>
        <v>3046.336</v>
      </c>
      <c r="H7" s="53">
        <f t="shared" si="0"/>
        <v>3157.6530000000002</v>
      </c>
      <c r="I7" s="54">
        <f t="shared" si="0"/>
        <v>222.63400000000001</v>
      </c>
      <c r="J7" s="1"/>
      <c r="K7" s="165"/>
    </row>
    <row r="8" spans="1:11" ht="11.25">
      <c r="A8" s="5"/>
      <c r="B8" s="57" t="s">
        <v>403</v>
      </c>
      <c r="C8" s="12" t="s">
        <v>403</v>
      </c>
      <c r="D8" s="40">
        <f aca="true" t="shared" si="1" ref="D8:I8">SUM(D9:D12)</f>
        <v>363.67</v>
      </c>
      <c r="E8" s="55">
        <f t="shared" si="1"/>
        <v>0</v>
      </c>
      <c r="F8" s="55">
        <f t="shared" si="1"/>
        <v>48.471999999999994</v>
      </c>
      <c r="G8" s="55">
        <f t="shared" si="1"/>
        <v>315.198</v>
      </c>
      <c r="H8" s="55">
        <f t="shared" si="1"/>
        <v>339.43399999999997</v>
      </c>
      <c r="I8" s="56">
        <f t="shared" si="1"/>
        <v>48.471999999999994</v>
      </c>
      <c r="J8" s="1"/>
      <c r="K8" s="165"/>
    </row>
    <row r="9" spans="1:11" ht="11.25">
      <c r="A9" s="5"/>
      <c r="B9" s="57" t="s">
        <v>28</v>
      </c>
      <c r="C9" s="12" t="s">
        <v>404</v>
      </c>
      <c r="D9" s="421"/>
      <c r="E9" s="390"/>
      <c r="F9" s="390"/>
      <c r="G9" s="55">
        <f>D9+E9-F9</f>
        <v>0</v>
      </c>
      <c r="H9" s="55">
        <f>(D9+G9)/2</f>
        <v>0</v>
      </c>
      <c r="I9" s="391"/>
      <c r="J9" s="453"/>
      <c r="K9" s="165"/>
    </row>
    <row r="10" spans="1:11" ht="11.25">
      <c r="A10" s="5"/>
      <c r="B10" s="57" t="s">
        <v>29</v>
      </c>
      <c r="C10" s="12" t="s">
        <v>405</v>
      </c>
      <c r="D10" s="421">
        <v>11.99</v>
      </c>
      <c r="E10" s="390">
        <v>0</v>
      </c>
      <c r="F10" s="390">
        <v>7.576</v>
      </c>
      <c r="G10" s="55">
        <f>D10+E10-F10</f>
        <v>4.414000000000001</v>
      </c>
      <c r="H10" s="55">
        <f>(D10+G10)/2</f>
        <v>8.202</v>
      </c>
      <c r="I10" s="391">
        <v>7.576</v>
      </c>
      <c r="J10" s="453"/>
      <c r="K10" s="165"/>
    </row>
    <row r="11" spans="1:11" ht="11.25">
      <c r="A11" s="5"/>
      <c r="B11" s="57" t="s">
        <v>30</v>
      </c>
      <c r="C11" s="12" t="s">
        <v>406</v>
      </c>
      <c r="D11" s="421">
        <v>342.88</v>
      </c>
      <c r="E11" s="390">
        <v>0</v>
      </c>
      <c r="F11" s="390">
        <v>35.37</v>
      </c>
      <c r="G11" s="55">
        <f>D11+E11-F11</f>
        <v>307.51</v>
      </c>
      <c r="H11" s="55">
        <f>(D11+G11)/2</f>
        <v>325.195</v>
      </c>
      <c r="I11" s="391">
        <v>35.37</v>
      </c>
      <c r="J11" s="457"/>
      <c r="K11" s="165"/>
    </row>
    <row r="12" spans="1:11" ht="11.25">
      <c r="A12" s="5"/>
      <c r="B12" s="57" t="s">
        <v>31</v>
      </c>
      <c r="C12" s="12" t="s">
        <v>407</v>
      </c>
      <c r="D12" s="421">
        <v>8.8</v>
      </c>
      <c r="E12" s="390"/>
      <c r="F12" s="390">
        <v>5.526</v>
      </c>
      <c r="G12" s="55">
        <f>D12+E12-F12</f>
        <v>3.274000000000001</v>
      </c>
      <c r="H12" s="55">
        <f>(D12+G12)/2</f>
        <v>6.037000000000001</v>
      </c>
      <c r="I12" s="391">
        <v>5.526</v>
      </c>
      <c r="J12" s="457"/>
      <c r="K12" s="165"/>
    </row>
    <row r="13" spans="1:11" ht="11.25">
      <c r="A13" s="5"/>
      <c r="B13" s="57" t="s">
        <v>408</v>
      </c>
      <c r="C13" s="12" t="s">
        <v>408</v>
      </c>
      <c r="D13" s="40">
        <f aca="true" t="shared" si="2" ref="D13:I13">SUM(D14:D17)</f>
        <v>2905.3</v>
      </c>
      <c r="E13" s="55">
        <f t="shared" si="2"/>
        <v>0</v>
      </c>
      <c r="F13" s="55">
        <f t="shared" si="2"/>
        <v>174.162</v>
      </c>
      <c r="G13" s="55">
        <f t="shared" si="2"/>
        <v>2731.138</v>
      </c>
      <c r="H13" s="55">
        <f t="shared" si="2"/>
        <v>2818.219</v>
      </c>
      <c r="I13" s="56">
        <f t="shared" si="2"/>
        <v>174.162</v>
      </c>
      <c r="J13" s="457"/>
      <c r="K13" s="165"/>
    </row>
    <row r="14" spans="1:11" ht="11.25">
      <c r="A14" s="5"/>
      <c r="B14" s="57" t="s">
        <v>28</v>
      </c>
      <c r="C14" s="12" t="s">
        <v>409</v>
      </c>
      <c r="D14" s="421"/>
      <c r="E14" s="390"/>
      <c r="F14" s="390"/>
      <c r="G14" s="55">
        <f>D14+E14-F14</f>
        <v>0</v>
      </c>
      <c r="H14" s="55">
        <f>(D14+G14)/2</f>
        <v>0</v>
      </c>
      <c r="I14" s="391"/>
      <c r="J14" s="457"/>
      <c r="K14" s="165"/>
    </row>
    <row r="15" spans="1:11" ht="11.25">
      <c r="A15" s="5"/>
      <c r="B15" s="57" t="s">
        <v>29</v>
      </c>
      <c r="C15" s="12" t="s">
        <v>410</v>
      </c>
      <c r="D15" s="421">
        <v>61.43</v>
      </c>
      <c r="E15" s="390"/>
      <c r="F15" s="390">
        <v>3.7</v>
      </c>
      <c r="G15" s="55">
        <f>D15+E15-F15</f>
        <v>57.73</v>
      </c>
      <c r="H15" s="55">
        <f>(D15+G15)/2</f>
        <v>59.58</v>
      </c>
      <c r="I15" s="391">
        <v>3.7</v>
      </c>
      <c r="J15" s="457"/>
      <c r="K15" s="165"/>
    </row>
    <row r="16" spans="1:11" ht="11.25">
      <c r="A16" s="5"/>
      <c r="B16" s="57" t="s">
        <v>30</v>
      </c>
      <c r="C16" s="12" t="s">
        <v>411</v>
      </c>
      <c r="D16" s="421">
        <v>1588.49</v>
      </c>
      <c r="E16" s="390">
        <v>0</v>
      </c>
      <c r="F16" s="390">
        <v>95.158</v>
      </c>
      <c r="G16" s="55">
        <f>D16+E16-F16</f>
        <v>1493.332</v>
      </c>
      <c r="H16" s="55">
        <f>(D16+G16)/2</f>
        <v>1540.911</v>
      </c>
      <c r="I16" s="391">
        <v>95.158</v>
      </c>
      <c r="J16" s="457"/>
      <c r="K16" s="165"/>
    </row>
    <row r="17" spans="1:11" ht="11.25">
      <c r="A17" s="5"/>
      <c r="B17" s="57" t="s">
        <v>31</v>
      </c>
      <c r="C17" s="12" t="s">
        <v>412</v>
      </c>
      <c r="D17" s="421">
        <v>1255.38</v>
      </c>
      <c r="E17" s="390">
        <v>0</v>
      </c>
      <c r="F17" s="390">
        <v>75.304</v>
      </c>
      <c r="G17" s="55">
        <f>D17+E17-F17</f>
        <v>1180.076</v>
      </c>
      <c r="H17" s="55">
        <f>(D17+G17)/2</f>
        <v>1217.728</v>
      </c>
      <c r="I17" s="391">
        <v>75.304</v>
      </c>
      <c r="J17" s="457"/>
      <c r="K17" s="165"/>
    </row>
    <row r="18" spans="1:11" ht="11.25">
      <c r="A18" s="5" t="s">
        <v>150</v>
      </c>
      <c r="B18" s="57" t="s">
        <v>413</v>
      </c>
      <c r="C18" s="12" t="s">
        <v>413</v>
      </c>
      <c r="D18" s="40">
        <f aca="true" t="shared" si="3" ref="D18:I18">SUM(D19:D22)</f>
        <v>11073.24</v>
      </c>
      <c r="E18" s="55">
        <f t="shared" si="3"/>
        <v>7317.25</v>
      </c>
      <c r="F18" s="55">
        <f t="shared" si="3"/>
        <v>348.08</v>
      </c>
      <c r="G18" s="55">
        <f t="shared" si="3"/>
        <v>18042.409999999996</v>
      </c>
      <c r="H18" s="55">
        <f t="shared" si="3"/>
        <v>14557.824999999997</v>
      </c>
      <c r="I18" s="56">
        <f t="shared" si="3"/>
        <v>348.08</v>
      </c>
      <c r="J18" s="457"/>
      <c r="K18" s="165"/>
    </row>
    <row r="19" spans="1:11" ht="11.25">
      <c r="A19" s="5"/>
      <c r="B19" s="57" t="s">
        <v>28</v>
      </c>
      <c r="C19" s="12" t="s">
        <v>414</v>
      </c>
      <c r="D19" s="421"/>
      <c r="E19" s="390"/>
      <c r="F19" s="390"/>
      <c r="G19" s="55">
        <f>D19+E19-F19</f>
        <v>0</v>
      </c>
      <c r="H19" s="55">
        <f>(D19+G19)/2</f>
        <v>0</v>
      </c>
      <c r="I19" s="391"/>
      <c r="J19" s="457"/>
      <c r="K19" s="165"/>
    </row>
    <row r="20" spans="1:11" ht="11.25">
      <c r="A20" s="5"/>
      <c r="B20" s="57" t="s">
        <v>29</v>
      </c>
      <c r="C20" s="12" t="s">
        <v>415</v>
      </c>
      <c r="D20" s="421"/>
      <c r="E20" s="390"/>
      <c r="F20" s="390"/>
      <c r="G20" s="55">
        <f>D20+E20-F20</f>
        <v>0</v>
      </c>
      <c r="H20" s="55">
        <f>(D20+G20)/2</f>
        <v>0</v>
      </c>
      <c r="I20" s="391"/>
      <c r="J20" s="457"/>
      <c r="K20" s="165"/>
    </row>
    <row r="21" spans="1:11" ht="11.25">
      <c r="A21" s="5"/>
      <c r="B21" s="57" t="s">
        <v>30</v>
      </c>
      <c r="C21" s="12" t="s">
        <v>416</v>
      </c>
      <c r="D21" s="421">
        <v>11073.24</v>
      </c>
      <c r="E21" s="390">
        <v>7317.25</v>
      </c>
      <c r="F21" s="390">
        <v>348.08</v>
      </c>
      <c r="G21" s="55">
        <f>D21+E21-F21</f>
        <v>18042.409999999996</v>
      </c>
      <c r="H21" s="55">
        <f>(D21+G21)/2</f>
        <v>14557.824999999997</v>
      </c>
      <c r="I21" s="391">
        <v>348.08</v>
      </c>
      <c r="J21" s="457"/>
      <c r="K21" s="165"/>
    </row>
    <row r="22" spans="1:11" ht="11.25">
      <c r="A22" s="5"/>
      <c r="B22" s="57" t="s">
        <v>31</v>
      </c>
      <c r="C22" s="12" t="s">
        <v>417</v>
      </c>
      <c r="D22" s="421"/>
      <c r="E22" s="390"/>
      <c r="F22" s="390"/>
      <c r="G22" s="55">
        <f>D22+E22-F22</f>
        <v>0</v>
      </c>
      <c r="H22" s="55">
        <f>(D22+G22)/2</f>
        <v>0</v>
      </c>
      <c r="I22" s="391"/>
      <c r="J22" s="457"/>
      <c r="K22" s="165"/>
    </row>
    <row r="23" spans="1:11" ht="11.25">
      <c r="A23" s="5"/>
      <c r="B23" s="57" t="s">
        <v>418</v>
      </c>
      <c r="C23" s="12" t="s">
        <v>87</v>
      </c>
      <c r="D23" s="40">
        <f aca="true" t="shared" si="4" ref="D23:I23">D7+D18</f>
        <v>14342.21</v>
      </c>
      <c r="E23" s="55">
        <f t="shared" si="4"/>
        <v>7317.25</v>
      </c>
      <c r="F23" s="55">
        <f t="shared" si="4"/>
        <v>570.7139999999999</v>
      </c>
      <c r="G23" s="55">
        <f t="shared" si="4"/>
        <v>21088.745999999996</v>
      </c>
      <c r="H23" s="55">
        <f t="shared" si="4"/>
        <v>17715.477999999996</v>
      </c>
      <c r="I23" s="56">
        <f t="shared" si="4"/>
        <v>570.7139999999999</v>
      </c>
      <c r="J23" s="457"/>
      <c r="K23" s="165"/>
    </row>
    <row r="24" spans="1:11" ht="11.25">
      <c r="A24" s="5"/>
      <c r="B24" s="57" t="s">
        <v>28</v>
      </c>
      <c r="C24" s="12" t="s">
        <v>28</v>
      </c>
      <c r="D24" s="40">
        <f aca="true" t="shared" si="5" ref="D24:H27">D9+D19+D14</f>
        <v>0</v>
      </c>
      <c r="E24" s="55">
        <f t="shared" si="5"/>
        <v>0</v>
      </c>
      <c r="F24" s="55">
        <f t="shared" si="5"/>
        <v>0</v>
      </c>
      <c r="G24" s="55">
        <f t="shared" si="5"/>
        <v>0</v>
      </c>
      <c r="H24" s="55">
        <f t="shared" si="5"/>
        <v>0</v>
      </c>
      <c r="I24" s="56">
        <f>I9+I19+I14</f>
        <v>0</v>
      </c>
      <c r="J24" s="1"/>
      <c r="K24" s="165"/>
    </row>
    <row r="25" spans="1:11" ht="11.25">
      <c r="A25" s="5"/>
      <c r="B25" s="57" t="s">
        <v>29</v>
      </c>
      <c r="C25" s="12" t="s">
        <v>29</v>
      </c>
      <c r="D25" s="40">
        <f t="shared" si="5"/>
        <v>73.42</v>
      </c>
      <c r="E25" s="55">
        <f t="shared" si="5"/>
        <v>0</v>
      </c>
      <c r="F25" s="55">
        <f t="shared" si="5"/>
        <v>11.276</v>
      </c>
      <c r="G25" s="55">
        <f t="shared" si="5"/>
        <v>62.144</v>
      </c>
      <c r="H25" s="55">
        <f t="shared" si="5"/>
        <v>67.782</v>
      </c>
      <c r="I25" s="56">
        <f>I10+I20+I15</f>
        <v>11.276</v>
      </c>
      <c r="J25" s="1"/>
      <c r="K25" s="165"/>
    </row>
    <row r="26" spans="1:11" ht="11.25">
      <c r="A26" s="5"/>
      <c r="B26" s="57" t="s">
        <v>30</v>
      </c>
      <c r="C26" s="12" t="s">
        <v>30</v>
      </c>
      <c r="D26" s="40">
        <f t="shared" si="5"/>
        <v>13004.609999999999</v>
      </c>
      <c r="E26" s="55">
        <f t="shared" si="5"/>
        <v>7317.25</v>
      </c>
      <c r="F26" s="55">
        <f t="shared" si="5"/>
        <v>478.608</v>
      </c>
      <c r="G26" s="55">
        <f t="shared" si="5"/>
        <v>19843.251999999993</v>
      </c>
      <c r="H26" s="55">
        <f t="shared" si="5"/>
        <v>16423.930999999997</v>
      </c>
      <c r="I26" s="56">
        <f>I11+I21+I16</f>
        <v>478.608</v>
      </c>
      <c r="J26" s="1"/>
      <c r="K26" s="165"/>
    </row>
    <row r="27" spans="1:11" ht="12" thickBot="1">
      <c r="A27" s="6"/>
      <c r="B27" s="152" t="s">
        <v>31</v>
      </c>
      <c r="C27" s="230" t="s">
        <v>31</v>
      </c>
      <c r="D27" s="60">
        <f t="shared" si="5"/>
        <v>1264.18</v>
      </c>
      <c r="E27" s="166">
        <f t="shared" si="5"/>
        <v>0</v>
      </c>
      <c r="F27" s="166">
        <f t="shared" si="5"/>
        <v>80.83</v>
      </c>
      <c r="G27" s="166">
        <f t="shared" si="5"/>
        <v>1183.35</v>
      </c>
      <c r="H27" s="166">
        <f t="shared" si="5"/>
        <v>1223.765</v>
      </c>
      <c r="I27" s="167">
        <f>I12+I22+I17</f>
        <v>80.83</v>
      </c>
      <c r="J27" s="1"/>
      <c r="K27" s="165"/>
    </row>
    <row r="28" spans="3:10" ht="11.25">
      <c r="C28" s="1"/>
      <c r="D28" s="228"/>
      <c r="E28" s="228"/>
      <c r="F28" s="228"/>
      <c r="G28" s="228"/>
      <c r="H28" s="228"/>
      <c r="I28" s="228"/>
      <c r="J28" s="1"/>
    </row>
    <row r="29" spans="2:10" ht="11.25">
      <c r="B29" s="454"/>
      <c r="C29" s="455"/>
      <c r="D29" s="455"/>
      <c r="E29" s="455"/>
      <c r="F29" s="455"/>
      <c r="G29" s="455"/>
      <c r="H29" s="455"/>
      <c r="I29" s="455"/>
      <c r="J29" s="1"/>
    </row>
    <row r="30" spans="2:9" s="14" customFormat="1" ht="15">
      <c r="B30" s="576" t="s">
        <v>1291</v>
      </c>
      <c r="C30" s="608"/>
      <c r="D30" s="607"/>
      <c r="E30" s="608" t="s">
        <v>1351</v>
      </c>
      <c r="F30"/>
      <c r="G30" s="454"/>
      <c r="H30" s="454"/>
      <c r="I30" s="454"/>
    </row>
    <row r="31" spans="2:9" s="14" customFormat="1" ht="15">
      <c r="B31" s="576" t="s">
        <v>1354</v>
      </c>
      <c r="C31" s="576"/>
      <c r="D31" s="576" t="s">
        <v>1288</v>
      </c>
      <c r="E31" s="576"/>
      <c r="F31"/>
      <c r="G31" s="454"/>
      <c r="H31" s="454"/>
      <c r="I31" s="454"/>
    </row>
    <row r="32" spans="2:9" s="14" customFormat="1" ht="15">
      <c r="B32" s="576" t="s">
        <v>1355</v>
      </c>
      <c r="C32" s="576"/>
      <c r="D32" s="576"/>
      <c r="E32" s="576"/>
      <c r="F32"/>
      <c r="G32" s="454"/>
      <c r="H32" s="454"/>
      <c r="I32" s="454"/>
    </row>
    <row r="33" spans="2:9" s="14" customFormat="1" ht="11.25">
      <c r="B33" s="454"/>
      <c r="C33" s="454"/>
      <c r="D33" s="454"/>
      <c r="E33" s="456"/>
      <c r="F33" s="454"/>
      <c r="G33" s="454"/>
      <c r="H33" s="454"/>
      <c r="I33" s="454"/>
    </row>
    <row r="34" s="14" customFormat="1" ht="11.25">
      <c r="E34" s="168"/>
    </row>
    <row r="35" s="14" customFormat="1" ht="11.25">
      <c r="E35" s="168"/>
    </row>
    <row r="36" s="14" customFormat="1" ht="11.25">
      <c r="E36" s="168"/>
    </row>
    <row r="37" s="14" customFormat="1" ht="11.25"/>
    <row r="38" s="14" customFormat="1" ht="11.25"/>
    <row r="39" s="14" customFormat="1" ht="11.25"/>
    <row r="40" s="14" customFormat="1" ht="11.25"/>
    <row r="41" s="14" customFormat="1" ht="11.25"/>
    <row r="42" s="14" customFormat="1" ht="11.25"/>
    <row r="43" s="14" customFormat="1" ht="11.25"/>
    <row r="44" s="14" customFormat="1" ht="11.25"/>
    <row r="45" s="14" customFormat="1" ht="11.25"/>
    <row r="46" s="14" customFormat="1" ht="11.25"/>
    <row r="47" s="14" customFormat="1" ht="11.25"/>
    <row r="48" s="14" customFormat="1" ht="11.25"/>
    <row r="49" s="14" customFormat="1" ht="11.25"/>
    <row r="50" s="14" customFormat="1" ht="11.25"/>
    <row r="51" s="14" customFormat="1" ht="11.25"/>
    <row r="52" s="14" customFormat="1" ht="11.25"/>
    <row r="53" s="14" customFormat="1" ht="11.25"/>
    <row r="54" s="14" customFormat="1" ht="11.25"/>
    <row r="55" s="14" customFormat="1" ht="11.25"/>
    <row r="56" s="14" customFormat="1" ht="11.25"/>
    <row r="57" s="14" customFormat="1" ht="11.25"/>
    <row r="58" s="14" customFormat="1" ht="11.25"/>
    <row r="59" s="14" customFormat="1" ht="11.25"/>
    <row r="60" s="14" customFormat="1" ht="11.25"/>
    <row r="61" s="14" customFormat="1" ht="11.25"/>
    <row r="62" s="14" customFormat="1" ht="11.25"/>
    <row r="63" s="14" customFormat="1" ht="11.25"/>
    <row r="64" s="14" customFormat="1" ht="11.25"/>
    <row r="65" s="14" customFormat="1" ht="11.25"/>
    <row r="66" s="14" customFormat="1" ht="11.25"/>
    <row r="67" s="14" customFormat="1" ht="11.25"/>
    <row r="68" s="14" customFormat="1" ht="11.25"/>
    <row r="69" s="14" customFormat="1" ht="11.25"/>
    <row r="70" s="14" customFormat="1" ht="11.25"/>
    <row r="71" s="14" customFormat="1" ht="11.25"/>
    <row r="72" s="14" customFormat="1" ht="11.25"/>
    <row r="73" s="14" customFormat="1" ht="11.25"/>
    <row r="74" s="14" customFormat="1" ht="11.25"/>
    <row r="75" s="14" customFormat="1" ht="11.25"/>
    <row r="76" s="14" customFormat="1" ht="11.25"/>
    <row r="77" s="14" customFormat="1" ht="11.25"/>
    <row r="78" s="14" customFormat="1" ht="11.25"/>
    <row r="79" s="14" customFormat="1" ht="11.25"/>
    <row r="80" s="14" customFormat="1" ht="11.25"/>
    <row r="81" s="14" customFormat="1" ht="11.25"/>
    <row r="82" s="14" customFormat="1" ht="11.25"/>
    <row r="83" s="14" customFormat="1" ht="11.25"/>
    <row r="84" s="14" customFormat="1" ht="11.25"/>
    <row r="85" s="14" customFormat="1" ht="11.25"/>
    <row r="86" s="14" customFormat="1" ht="11.25"/>
    <row r="87" s="14" customFormat="1" ht="11.25"/>
    <row r="88" s="14" customFormat="1" ht="11.25"/>
    <row r="89" s="14" customFormat="1" ht="11.25"/>
    <row r="90" s="14" customFormat="1" ht="11.25"/>
    <row r="91" s="14" customFormat="1" ht="11.25"/>
    <row r="92" s="14" customFormat="1" ht="11.25"/>
    <row r="93" s="14" customFormat="1" ht="11.25"/>
    <row r="94" s="14" customFormat="1" ht="11.25"/>
    <row r="95" s="14" customFormat="1" ht="11.25"/>
    <row r="96" s="14" customFormat="1" ht="11.25"/>
    <row r="97" s="14" customFormat="1" ht="11.25"/>
    <row r="98" s="14" customFormat="1" ht="11.25"/>
    <row r="99" s="14" customFormat="1" ht="11.25"/>
  </sheetData>
  <sheetProtection formatColumns="0" formatRows="0"/>
  <dataValidations count="1">
    <dataValidation type="decimal" allowBlank="1" showInputMessage="1" showErrorMessage="1" error="Ввведеное значение неверно" sqref="I9:I12 I19:I22 D14:F17 D19:F22 D9:F12 I14:I17">
      <formula1>-1000000000000000</formula1>
      <formula2>1000000000000000</formula2>
    </dataValidation>
  </dataValidations>
  <printOptions/>
  <pageMargins left="0.7480314960629921" right="0.25" top="0.984251968503937" bottom="0.35433070866141736" header="0.5118110236220472" footer="0.15748031496062992"/>
  <pageSetup horizontalDpi="600" verticalDpi="600" orientation="landscape" paperSize="9" scale="9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J301"/>
  <sheetViews>
    <sheetView zoomScale="75" zoomScaleNormal="75" zoomScalePageLayoutView="0" workbookViewId="0" topLeftCell="A2">
      <pane ySplit="6" topLeftCell="A53" activePane="bottomLeft" state="frozen"/>
      <selection pane="topLeft" activeCell="F41" sqref="F41"/>
      <selection pane="bottomLeft" activeCell="E9" sqref="E9"/>
    </sheetView>
  </sheetViews>
  <sheetFormatPr defaultColWidth="9.140625" defaultRowHeight="11.25"/>
  <cols>
    <col min="1" max="1" width="5.140625" style="149" customWidth="1"/>
    <col min="2" max="2" width="41.7109375" style="169" customWidth="1"/>
    <col min="3" max="3" width="12.57421875" style="169" hidden="1" customWidth="1"/>
    <col min="4" max="4" width="11.7109375" style="149" customWidth="1"/>
    <col min="5" max="5" width="13.00390625" style="149" customWidth="1"/>
    <col min="6" max="6" width="12.140625" style="149" customWidth="1"/>
    <col min="7" max="7" width="13.8515625" style="149" customWidth="1"/>
    <col min="8" max="8" width="13.00390625" style="149" customWidth="1"/>
    <col min="9" max="9" width="12.7109375" style="179" customWidth="1"/>
    <col min="10" max="10" width="11.7109375" style="149" hidden="1" customWidth="1"/>
    <col min="11" max="16384" width="9.140625" style="149" customWidth="1"/>
  </cols>
  <sheetData>
    <row r="1" spans="1:9" ht="12.75" hidden="1">
      <c r="A1" s="34" t="str">
        <f>Справочники!E13</f>
        <v>Мурманская область</v>
      </c>
      <c r="B1" s="241" t="str">
        <f>Справочники!D21</f>
        <v>МУП "Кировская горэлектросеть"</v>
      </c>
      <c r="I1" s="149" t="s">
        <v>420</v>
      </c>
    </row>
    <row r="2" spans="1:9" ht="40.5" customHeight="1">
      <c r="A2" s="876" t="s">
        <v>421</v>
      </c>
      <c r="B2" s="876"/>
      <c r="C2" s="876"/>
      <c r="D2" s="876"/>
      <c r="E2" s="876"/>
      <c r="F2" s="876"/>
      <c r="G2" s="876"/>
      <c r="H2" s="876"/>
      <c r="I2" s="876"/>
    </row>
    <row r="3" spans="1:9" ht="15" customHeight="1" thickBot="1">
      <c r="A3" s="165"/>
      <c r="B3" s="170"/>
      <c r="C3" s="170"/>
      <c r="D3" s="165"/>
      <c r="E3" s="165"/>
      <c r="F3" s="165"/>
      <c r="G3" s="165"/>
      <c r="H3" s="165"/>
      <c r="I3" s="168"/>
    </row>
    <row r="4" spans="1:10" ht="40.5" customHeight="1">
      <c r="A4" s="35" t="s">
        <v>86</v>
      </c>
      <c r="B4" s="36" t="s">
        <v>422</v>
      </c>
      <c r="C4" s="36"/>
      <c r="D4" s="36" t="s">
        <v>423</v>
      </c>
      <c r="E4" s="171" t="s">
        <v>1287</v>
      </c>
      <c r="F4" s="171" t="s">
        <v>1304</v>
      </c>
      <c r="G4" s="171" t="s">
        <v>1334</v>
      </c>
      <c r="H4" s="171" t="s">
        <v>1305</v>
      </c>
      <c r="I4" s="171" t="s">
        <v>1308</v>
      </c>
      <c r="J4" s="239" t="s">
        <v>27</v>
      </c>
    </row>
    <row r="5" spans="1:10" ht="40.5" customHeight="1" hidden="1">
      <c r="A5" s="9"/>
      <c r="B5" s="4"/>
      <c r="C5" s="4"/>
      <c r="D5" s="4"/>
      <c r="E5" s="256" t="s">
        <v>82</v>
      </c>
      <c r="F5" s="257" t="s">
        <v>81</v>
      </c>
      <c r="G5" s="256" t="s">
        <v>82</v>
      </c>
      <c r="H5" s="257" t="s">
        <v>81</v>
      </c>
      <c r="I5" s="256" t="s">
        <v>82</v>
      </c>
      <c r="J5" s="258" t="s">
        <v>811</v>
      </c>
    </row>
    <row r="6" spans="1:10" ht="40.5" customHeight="1" hidden="1">
      <c r="A6" s="9"/>
      <c r="B6" s="4"/>
      <c r="C6" s="4"/>
      <c r="D6" s="4"/>
      <c r="E6" s="257">
        <v>2006</v>
      </c>
      <c r="F6" s="257">
        <v>2006</v>
      </c>
      <c r="G6" s="257">
        <v>2007</v>
      </c>
      <c r="H6" s="257">
        <v>2007</v>
      </c>
      <c r="I6" s="257">
        <v>2008</v>
      </c>
      <c r="J6" s="258"/>
    </row>
    <row r="7" spans="1:10" ht="11.25">
      <c r="A7" s="9">
        <v>1</v>
      </c>
      <c r="B7" s="4">
        <v>2</v>
      </c>
      <c r="C7" s="4"/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242"/>
    </row>
    <row r="8" spans="1:10" ht="24" customHeight="1">
      <c r="A8" s="144" t="s">
        <v>36</v>
      </c>
      <c r="B8" s="99" t="s">
        <v>424</v>
      </c>
      <c r="C8" s="99" t="s">
        <v>38</v>
      </c>
      <c r="D8" s="251" t="s">
        <v>386</v>
      </c>
      <c r="E8" s="232">
        <f>SUM(E9:E10,E14)</f>
        <v>42212.89567620087</v>
      </c>
      <c r="F8" s="232">
        <f>SUM(F9:F10,F14)</f>
        <v>45764.24174035705</v>
      </c>
      <c r="G8" s="232">
        <f>SUM(G9:G10,G14)</f>
        <v>44820.77740240549</v>
      </c>
      <c r="H8" s="232">
        <f>SUM(H9:H10,H14)</f>
        <v>50006.985315951155</v>
      </c>
      <c r="I8" s="232">
        <f>SUM(I9:I10,I14)</f>
        <v>54772.676665172345</v>
      </c>
      <c r="J8" s="248">
        <f>IF(ISERROR(I8/G8),0,I8/G8)</f>
        <v>1.2220376316416313</v>
      </c>
    </row>
    <row r="9" spans="1:10" ht="11.25">
      <c r="A9" s="144"/>
      <c r="B9" s="99" t="s">
        <v>28</v>
      </c>
      <c r="C9" s="99" t="s">
        <v>41</v>
      </c>
      <c r="D9" s="251"/>
      <c r="E9" s="172">
        <f>свод!E65</f>
        <v>0</v>
      </c>
      <c r="F9" s="172">
        <f>свод!G65</f>
        <v>0</v>
      </c>
      <c r="G9" s="172">
        <f>свод!I65</f>
        <v>0</v>
      </c>
      <c r="H9" s="172">
        <f>свод!K65</f>
        <v>0</v>
      </c>
      <c r="I9" s="172">
        <f>свод!M65</f>
        <v>0</v>
      </c>
      <c r="J9" s="248">
        <f>IF(ISERROR(I9/G9),0,I9/G9)</f>
        <v>0</v>
      </c>
    </row>
    <row r="10" spans="1:10" ht="11.25">
      <c r="A10" s="144"/>
      <c r="B10" s="99" t="s">
        <v>425</v>
      </c>
      <c r="C10" s="99" t="s">
        <v>44</v>
      </c>
      <c r="D10" s="251"/>
      <c r="E10" s="233">
        <f>E12+E13</f>
        <v>35988.23229806701</v>
      </c>
      <c r="F10" s="233">
        <f>F12+F13</f>
        <v>39423.61774561771</v>
      </c>
      <c r="G10" s="233">
        <f>G12+G13</f>
        <v>38271.37770264198</v>
      </c>
      <c r="H10" s="233">
        <f>H12+H13</f>
        <v>43509.313754869436</v>
      </c>
      <c r="I10" s="233">
        <f>I12+I13</f>
        <v>47741.89293996917</v>
      </c>
      <c r="J10" s="248">
        <f>IF(ISERROR(I10/G10),0,I10/G10)</f>
        <v>1.2474568673986726</v>
      </c>
    </row>
    <row r="11" spans="1:10" ht="11.25">
      <c r="A11" s="144"/>
      <c r="B11" s="99" t="s">
        <v>426</v>
      </c>
      <c r="C11" s="99"/>
      <c r="D11" s="251"/>
      <c r="E11" s="57"/>
      <c r="F11" s="57"/>
      <c r="G11" s="57"/>
      <c r="H11" s="57"/>
      <c r="I11" s="57"/>
      <c r="J11" s="247"/>
    </row>
    <row r="12" spans="1:10" ht="11.25">
      <c r="A12" s="144"/>
      <c r="B12" s="99" t="s">
        <v>29</v>
      </c>
      <c r="C12" s="99" t="s">
        <v>786</v>
      </c>
      <c r="D12" s="251"/>
      <c r="E12" s="172">
        <f>свод!E66</f>
        <v>2882.7014471128846</v>
      </c>
      <c r="F12" s="172">
        <f>свод!G66</f>
        <v>3149.411989254898</v>
      </c>
      <c r="G12" s="172">
        <f>свод!I66</f>
        <v>3046.95101508098</v>
      </c>
      <c r="H12" s="172">
        <f>свод!K66</f>
        <v>3223.624661656567</v>
      </c>
      <c r="I12" s="172">
        <f>свод!M66</f>
        <v>5945.38415188465</v>
      </c>
      <c r="J12" s="248">
        <f aca="true" t="shared" si="0" ref="J12:J17">IF(ISERROR(I12/G12),0,I12/G12)</f>
        <v>1.9512568867887221</v>
      </c>
    </row>
    <row r="13" spans="1:10" ht="11.25">
      <c r="A13" s="144"/>
      <c r="B13" s="99" t="s">
        <v>30</v>
      </c>
      <c r="C13" s="99" t="s">
        <v>853</v>
      </c>
      <c r="D13" s="251"/>
      <c r="E13" s="172">
        <f>свод!E67</f>
        <v>33105.53085095412</v>
      </c>
      <c r="F13" s="172">
        <f>свод!G67</f>
        <v>36274.20575636281</v>
      </c>
      <c r="G13" s="172">
        <f>свод!I67</f>
        <v>35224.426687561</v>
      </c>
      <c r="H13" s="172">
        <f>свод!K67</f>
        <v>40285.689093212866</v>
      </c>
      <c r="I13" s="172">
        <f>свод!M67</f>
        <v>41796.50878808452</v>
      </c>
      <c r="J13" s="248">
        <f t="shared" si="0"/>
        <v>1.186577404334145</v>
      </c>
    </row>
    <row r="14" spans="1:10" ht="11.25">
      <c r="A14" s="144"/>
      <c r="B14" s="99" t="s">
        <v>31</v>
      </c>
      <c r="C14" s="99" t="s">
        <v>47</v>
      </c>
      <c r="D14" s="251"/>
      <c r="E14" s="172">
        <f>свод!E68</f>
        <v>6224.663378133861</v>
      </c>
      <c r="F14" s="172">
        <f>свод!G68</f>
        <v>6340.623994739342</v>
      </c>
      <c r="G14" s="172">
        <f>свод!I68</f>
        <v>6549.399699763513</v>
      </c>
      <c r="H14" s="172">
        <f>свод!K68</f>
        <v>6497.671561081717</v>
      </c>
      <c r="I14" s="172">
        <f>свод!M68</f>
        <v>7030.783725203179</v>
      </c>
      <c r="J14" s="248">
        <f t="shared" si="0"/>
        <v>1.0735004805794717</v>
      </c>
    </row>
    <row r="15" spans="1:10" ht="24" customHeight="1">
      <c r="A15" s="144" t="s">
        <v>69</v>
      </c>
      <c r="B15" s="99" t="s">
        <v>427</v>
      </c>
      <c r="C15" s="99" t="s">
        <v>71</v>
      </c>
      <c r="D15" s="251" t="s">
        <v>386</v>
      </c>
      <c r="E15" s="232">
        <f>SUM(E16:E17,E21)</f>
        <v>457.9</v>
      </c>
      <c r="F15" s="232">
        <f>SUM(F16:F17,F21)</f>
        <v>1170.143</v>
      </c>
      <c r="G15" s="232">
        <f>SUM(G16:G17,G21)</f>
        <v>-2149.9800000000005</v>
      </c>
      <c r="H15" s="232">
        <f>SUM(H16:H17,H21)</f>
        <v>469.97</v>
      </c>
      <c r="I15" s="232">
        <f>SUM(I16:I17,I21)</f>
        <v>9288.1725</v>
      </c>
      <c r="J15" s="248">
        <f t="shared" si="0"/>
        <v>-4.320120419724834</v>
      </c>
    </row>
    <row r="16" spans="1:10" ht="11.25">
      <c r="A16" s="144"/>
      <c r="B16" s="99" t="s">
        <v>28</v>
      </c>
      <c r="C16" s="99" t="s">
        <v>74</v>
      </c>
      <c r="D16" s="251"/>
      <c r="E16" s="172">
        <f>свод!E93</f>
        <v>0</v>
      </c>
      <c r="F16" s="172">
        <f>свод!G93</f>
        <v>0</v>
      </c>
      <c r="G16" s="172">
        <f>свод!I93</f>
        <v>0</v>
      </c>
      <c r="H16" s="172">
        <f>свод!K93</f>
        <v>0</v>
      </c>
      <c r="I16" s="172">
        <f>свод!M93</f>
        <v>0</v>
      </c>
      <c r="J16" s="248">
        <f t="shared" si="0"/>
        <v>0</v>
      </c>
    </row>
    <row r="17" spans="1:10" ht="11.25">
      <c r="A17" s="144"/>
      <c r="B17" s="99" t="s">
        <v>425</v>
      </c>
      <c r="C17" s="99" t="s">
        <v>787</v>
      </c>
      <c r="D17" s="251"/>
      <c r="E17" s="233">
        <f>E19+E20</f>
        <v>390.30654987333077</v>
      </c>
      <c r="F17" s="233">
        <f>F19+F20</f>
        <v>1008.2277319089058</v>
      </c>
      <c r="G17" s="233">
        <f>G19+G20</f>
        <v>-1852.4790489438105</v>
      </c>
      <c r="H17" s="233">
        <f>H19+H20</f>
        <v>409.0479190047832</v>
      </c>
      <c r="I17" s="233">
        <f>I19+I20</f>
        <v>8831.290815790646</v>
      </c>
      <c r="J17" s="248">
        <f t="shared" si="0"/>
        <v>-4.7672824266626925</v>
      </c>
    </row>
    <row r="18" spans="1:10" ht="11.25">
      <c r="A18" s="144"/>
      <c r="B18" s="99" t="s">
        <v>426</v>
      </c>
      <c r="C18" s="99"/>
      <c r="D18" s="251"/>
      <c r="E18" s="57"/>
      <c r="F18" s="57"/>
      <c r="G18" s="57"/>
      <c r="H18" s="57"/>
      <c r="I18" s="57"/>
      <c r="J18" s="247"/>
    </row>
    <row r="19" spans="1:10" ht="11.25">
      <c r="A19" s="144"/>
      <c r="B19" s="99" t="s">
        <v>29</v>
      </c>
      <c r="C19" s="99" t="s">
        <v>854</v>
      </c>
      <c r="D19" s="251"/>
      <c r="E19" s="172">
        <f>свод!E94</f>
        <v>31.660094465198164</v>
      </c>
      <c r="F19" s="172">
        <f>свод!G94</f>
        <v>81.27622828044298</v>
      </c>
      <c r="G19" s="172">
        <f>свод!I94</f>
        <v>-149.33182943529695</v>
      </c>
      <c r="H19" s="172">
        <f>свод!K94</f>
        <v>30.58091445397931</v>
      </c>
      <c r="I19" s="172">
        <f>свод!M94</f>
        <v>390.10120554928756</v>
      </c>
      <c r="J19" s="248">
        <f aca="true" t="shared" si="1" ref="J19:J25">IF(ISERROR(I19/G19),0,I19/G19)</f>
        <v>-2.6123111665106338</v>
      </c>
    </row>
    <row r="20" spans="1:10" ht="11.25">
      <c r="A20" s="144"/>
      <c r="B20" s="99" t="s">
        <v>30</v>
      </c>
      <c r="C20" s="99" t="s">
        <v>855</v>
      </c>
      <c r="D20" s="251"/>
      <c r="E20" s="172">
        <f>свод!E95</f>
        <v>358.6464554081326</v>
      </c>
      <c r="F20" s="172">
        <f>свод!G95</f>
        <v>926.9515036284628</v>
      </c>
      <c r="G20" s="172">
        <f>свод!I95</f>
        <v>-1703.1472195085137</v>
      </c>
      <c r="H20" s="172">
        <f>свод!K95</f>
        <v>378.4670045508039</v>
      </c>
      <c r="I20" s="172">
        <f>свод!M95</f>
        <v>8441.189610241358</v>
      </c>
      <c r="J20" s="248">
        <f t="shared" si="1"/>
        <v>-4.9562301564730715</v>
      </c>
    </row>
    <row r="21" spans="1:10" ht="11.25">
      <c r="A21" s="144"/>
      <c r="B21" s="99" t="s">
        <v>31</v>
      </c>
      <c r="C21" s="99" t="s">
        <v>788</v>
      </c>
      <c r="D21" s="251"/>
      <c r="E21" s="172">
        <f>свод!E96</f>
        <v>67.59345012666924</v>
      </c>
      <c r="F21" s="172">
        <f>свод!G96</f>
        <v>161.91526809109436</v>
      </c>
      <c r="G21" s="172">
        <f>свод!I96</f>
        <v>-297.50095105618993</v>
      </c>
      <c r="H21" s="172">
        <f>свод!K96</f>
        <v>60.92208099521686</v>
      </c>
      <c r="I21" s="172">
        <f>свод!M96</f>
        <v>456.88168420935506</v>
      </c>
      <c r="J21" s="248">
        <f t="shared" si="1"/>
        <v>-1.535731844175054</v>
      </c>
    </row>
    <row r="22" spans="1:10" ht="11.25">
      <c r="A22" s="144" t="s">
        <v>75</v>
      </c>
      <c r="B22" s="99" t="s">
        <v>428</v>
      </c>
      <c r="C22" s="99" t="s">
        <v>77</v>
      </c>
      <c r="D22" s="251" t="s">
        <v>255</v>
      </c>
      <c r="E22" s="233">
        <f>IF(E8=0,0,E15/E8*100)</f>
        <v>1.084739610171208</v>
      </c>
      <c r="F22" s="233">
        <f>IF(F8=0,0,F15/F8*100)</f>
        <v>2.5568936696008078</v>
      </c>
      <c r="G22" s="233">
        <f>IF(G8=0,0,G15/G8*100)</f>
        <v>-4.796837816303947</v>
      </c>
      <c r="H22" s="233">
        <f>IF(H8=0,0,H15/H8*100)</f>
        <v>0.939808702785548</v>
      </c>
      <c r="I22" s="233">
        <f>IF(I8=0,0,I15/I8*100)</f>
        <v>16.957675004234293</v>
      </c>
      <c r="J22" s="248">
        <f t="shared" si="1"/>
        <v>-3.5351778929437514</v>
      </c>
    </row>
    <row r="23" spans="1:10" ht="23.25" customHeight="1">
      <c r="A23" s="144" t="s">
        <v>78</v>
      </c>
      <c r="B23" s="99" t="s">
        <v>429</v>
      </c>
      <c r="C23" s="99" t="s">
        <v>80</v>
      </c>
      <c r="D23" s="251" t="s">
        <v>386</v>
      </c>
      <c r="E23" s="232">
        <f>SUM(E15,E8)</f>
        <v>42670.79567620087</v>
      </c>
      <c r="F23" s="232">
        <f>SUM(F15,F8)</f>
        <v>46934.384740357054</v>
      </c>
      <c r="G23" s="232">
        <f>SUM(G15,G8)</f>
        <v>42670.797402405486</v>
      </c>
      <c r="H23" s="232">
        <f>SUM(H15,H8)</f>
        <v>50476.955315951156</v>
      </c>
      <c r="I23" s="232">
        <f>SUM(I15,I8)</f>
        <v>64060.849165172345</v>
      </c>
      <c r="J23" s="248">
        <f t="shared" si="1"/>
        <v>1.5012808071301953</v>
      </c>
    </row>
    <row r="24" spans="1:10" ht="11.25">
      <c r="A24" s="144"/>
      <c r="B24" s="99" t="s">
        <v>28</v>
      </c>
      <c r="C24" s="99" t="s">
        <v>107</v>
      </c>
      <c r="D24" s="251"/>
      <c r="E24" s="233">
        <f>E16+E9</f>
        <v>0</v>
      </c>
      <c r="F24" s="233">
        <f>F16+F9</f>
        <v>0</v>
      </c>
      <c r="G24" s="233">
        <f>G16+G9</f>
        <v>0</v>
      </c>
      <c r="H24" s="233">
        <f>H16+H9</f>
        <v>0</v>
      </c>
      <c r="I24" s="233">
        <f>I16+I9</f>
        <v>0</v>
      </c>
      <c r="J24" s="248">
        <f t="shared" si="1"/>
        <v>0</v>
      </c>
    </row>
    <row r="25" spans="1:10" ht="11.25">
      <c r="A25" s="144"/>
      <c r="B25" s="99" t="s">
        <v>425</v>
      </c>
      <c r="C25" s="99" t="s">
        <v>115</v>
      </c>
      <c r="D25" s="251"/>
      <c r="E25" s="233">
        <f>E10+E17</f>
        <v>36378.53884794034</v>
      </c>
      <c r="F25" s="233">
        <f>F10+F17</f>
        <v>40431.845477526615</v>
      </c>
      <c r="G25" s="233">
        <f>G10+G17</f>
        <v>36418.89865369817</v>
      </c>
      <c r="H25" s="233">
        <f>H10+H17</f>
        <v>43918.36167387422</v>
      </c>
      <c r="I25" s="233">
        <f>I10+I17</f>
        <v>56573.18375575982</v>
      </c>
      <c r="J25" s="248">
        <f t="shared" si="1"/>
        <v>1.553401828366797</v>
      </c>
    </row>
    <row r="26" spans="1:10" ht="11.25">
      <c r="A26" s="144"/>
      <c r="B26" s="99" t="s">
        <v>426</v>
      </c>
      <c r="C26" s="99"/>
      <c r="D26" s="251"/>
      <c r="E26" s="57"/>
      <c r="F26" s="57"/>
      <c r="G26" s="57"/>
      <c r="H26" s="57"/>
      <c r="I26" s="57"/>
      <c r="J26" s="247"/>
    </row>
    <row r="27" spans="1:10" ht="11.25">
      <c r="A27" s="144"/>
      <c r="B27" s="99" t="s">
        <v>29</v>
      </c>
      <c r="C27" s="99" t="s">
        <v>699</v>
      </c>
      <c r="D27" s="251"/>
      <c r="E27" s="233">
        <f aca="true" t="shared" si="2" ref="E27:I29">E12+E19</f>
        <v>2914.361541578083</v>
      </c>
      <c r="F27" s="233">
        <f t="shared" si="2"/>
        <v>3230.6882175353408</v>
      </c>
      <c r="G27" s="233">
        <f t="shared" si="2"/>
        <v>2897.619185645683</v>
      </c>
      <c r="H27" s="233">
        <f t="shared" si="2"/>
        <v>3254.205576110546</v>
      </c>
      <c r="I27" s="233">
        <f t="shared" si="2"/>
        <v>6335.485357433938</v>
      </c>
      <c r="J27" s="248">
        <f aca="true" t="shared" si="3" ref="J27:J34">IF(ISERROR(I27/G27),0,I27/G27)</f>
        <v>2.1864451301326495</v>
      </c>
    </row>
    <row r="28" spans="1:10" ht="11.25">
      <c r="A28" s="144"/>
      <c r="B28" s="99" t="s">
        <v>30</v>
      </c>
      <c r="C28" s="99" t="s">
        <v>700</v>
      </c>
      <c r="D28" s="251"/>
      <c r="E28" s="233">
        <f t="shared" si="2"/>
        <v>33464.17730636225</v>
      </c>
      <c r="F28" s="233">
        <f t="shared" si="2"/>
        <v>37201.157259991276</v>
      </c>
      <c r="G28" s="233">
        <f t="shared" si="2"/>
        <v>33521.27946805248</v>
      </c>
      <c r="H28" s="233">
        <f t="shared" si="2"/>
        <v>40664.15609776367</v>
      </c>
      <c r="I28" s="233">
        <f t="shared" si="2"/>
        <v>50237.698398325876</v>
      </c>
      <c r="J28" s="248">
        <f t="shared" si="3"/>
        <v>1.4986808139649028</v>
      </c>
    </row>
    <row r="29" spans="1:10" ht="11.25">
      <c r="A29" s="144"/>
      <c r="B29" s="99" t="s">
        <v>31</v>
      </c>
      <c r="C29" s="99" t="s">
        <v>118</v>
      </c>
      <c r="D29" s="251"/>
      <c r="E29" s="233">
        <f t="shared" si="2"/>
        <v>6292.256828260531</v>
      </c>
      <c r="F29" s="233">
        <f t="shared" si="2"/>
        <v>6502.539262830437</v>
      </c>
      <c r="G29" s="233">
        <f t="shared" si="2"/>
        <v>6251.898748707323</v>
      </c>
      <c r="H29" s="233">
        <f t="shared" si="2"/>
        <v>6558.593642076934</v>
      </c>
      <c r="I29" s="233">
        <f t="shared" si="2"/>
        <v>7487.665409412533</v>
      </c>
      <c r="J29" s="248">
        <f t="shared" si="3"/>
        <v>1.1976626158510204</v>
      </c>
    </row>
    <row r="30" spans="1:10" ht="34.5" customHeight="1">
      <c r="A30" s="144" t="s">
        <v>430</v>
      </c>
      <c r="B30" s="99" t="s">
        <v>431</v>
      </c>
      <c r="C30" s="99" t="s">
        <v>432</v>
      </c>
      <c r="D30" s="251"/>
      <c r="E30" s="233">
        <f>5!E24</f>
        <v>33.830000000000005</v>
      </c>
      <c r="F30" s="233">
        <f>5!J24</f>
        <v>34.897000000000006</v>
      </c>
      <c r="G30" s="233">
        <f>5!O24</f>
        <v>34.324000000000005</v>
      </c>
      <c r="H30" s="233">
        <f>5!T24</f>
        <v>34.324000000000005</v>
      </c>
      <c r="I30" s="233">
        <f>5!AI24</f>
        <v>38.297</v>
      </c>
      <c r="J30" s="248">
        <f t="shared" si="3"/>
        <v>1.1157499125975991</v>
      </c>
    </row>
    <row r="31" spans="1:10" ht="22.5">
      <c r="A31" s="144" t="s">
        <v>433</v>
      </c>
      <c r="B31" s="99" t="s">
        <v>434</v>
      </c>
      <c r="C31" s="99" t="s">
        <v>436</v>
      </c>
      <c r="D31" s="251" t="s">
        <v>435</v>
      </c>
      <c r="E31" s="172">
        <f>SUM(5!G24:I24)</f>
        <v>23.11</v>
      </c>
      <c r="F31" s="172">
        <f>SUM(5!L24:N24)</f>
        <v>24.017000000000003</v>
      </c>
      <c r="G31" s="172">
        <f>SUM(5!Q24:S24)</f>
        <v>23.522</v>
      </c>
      <c r="H31" s="172">
        <f>SUM(5!V24:X24)</f>
        <v>23.522</v>
      </c>
      <c r="I31" s="172">
        <f>SUM(5!AK24:AM24)</f>
        <v>24.524500000000003</v>
      </c>
      <c r="J31" s="248">
        <f t="shared" si="3"/>
        <v>1.0426196751976875</v>
      </c>
    </row>
    <row r="32" spans="1:10" ht="11.25" customHeight="1">
      <c r="A32" s="144" t="s">
        <v>437</v>
      </c>
      <c r="B32" s="99" t="s">
        <v>438</v>
      </c>
      <c r="C32" s="99" t="s">
        <v>439</v>
      </c>
      <c r="D32" s="251" t="s">
        <v>435</v>
      </c>
      <c r="E32" s="172">
        <f>SUM(5!H24:I24)</f>
        <v>21.700000000000003</v>
      </c>
      <c r="F32" s="172">
        <f>SUM(5!M24:N24)</f>
        <v>22.614</v>
      </c>
      <c r="G32" s="172">
        <f>SUM(5!R24:S24)</f>
        <v>22.062</v>
      </c>
      <c r="H32" s="172">
        <f>SUM(5!W24:X24)</f>
        <v>22.062</v>
      </c>
      <c r="I32" s="233">
        <f>SUM(5!AL24:AM24)</f>
        <v>23.563000000000002</v>
      </c>
      <c r="J32" s="248">
        <f t="shared" si="3"/>
        <v>1.0680355362161182</v>
      </c>
    </row>
    <row r="33" spans="1:10" ht="11.25">
      <c r="A33" s="144" t="s">
        <v>440</v>
      </c>
      <c r="B33" s="99" t="s">
        <v>441</v>
      </c>
      <c r="C33" s="99" t="s">
        <v>442</v>
      </c>
      <c r="D33" s="251" t="s">
        <v>435</v>
      </c>
      <c r="E33" s="172">
        <f>5!I24</f>
        <v>8.74</v>
      </c>
      <c r="F33" s="172">
        <f>5!N24</f>
        <v>9.192</v>
      </c>
      <c r="G33" s="172">
        <f>5!S24</f>
        <v>8.917</v>
      </c>
      <c r="H33" s="172">
        <f>5!X24</f>
        <v>8.917</v>
      </c>
      <c r="I33" s="233">
        <f>5!AM24</f>
        <v>9.221</v>
      </c>
      <c r="J33" s="248">
        <f t="shared" si="3"/>
        <v>1.034092183469777</v>
      </c>
    </row>
    <row r="34" spans="1:10" ht="35.25" customHeight="1">
      <c r="A34" s="144" t="s">
        <v>122</v>
      </c>
      <c r="B34" s="99" t="s">
        <v>443</v>
      </c>
      <c r="C34" s="99" t="s">
        <v>124</v>
      </c>
      <c r="D34" s="252" t="s">
        <v>444</v>
      </c>
      <c r="E34" s="422"/>
      <c r="F34" s="422"/>
      <c r="G34" s="422"/>
      <c r="H34" s="422"/>
      <c r="I34" s="422"/>
      <c r="J34" s="248">
        <f t="shared" si="3"/>
        <v>0</v>
      </c>
    </row>
    <row r="35" spans="1:10" ht="11.25">
      <c r="A35" s="144"/>
      <c r="B35" s="99" t="s">
        <v>28</v>
      </c>
      <c r="C35" s="99" t="s">
        <v>732</v>
      </c>
      <c r="D35" s="251" t="s">
        <v>445</v>
      </c>
      <c r="E35" s="172">
        <f>IF(5!$F$11=0,0,E24/(5!$F$11*(1-(5!F21+5!F23)/5!F11)*12)*1000)</f>
        <v>0</v>
      </c>
      <c r="F35" s="172">
        <f>IF(5!$K$11=0,0,F24/(5!$K$11*(1-(5!K21+5!K23)/5!K11)*12)*1000)</f>
        <v>0</v>
      </c>
      <c r="G35" s="172">
        <f>IF(5!$P$11=0,0,G24/(5!$P$11*(1-(5!P21+5!P23)/5!P11)*12)*1000)</f>
        <v>0</v>
      </c>
      <c r="H35" s="172">
        <f>IF(5!$U$11=0,0,H24/(5!$U$11*(1-(5!U21+5!U23)/5!U11)*12)*1000)</f>
        <v>0</v>
      </c>
      <c r="I35" s="172">
        <f>IF(5!$AJ$11=0,0,I24/(5!$AJ$11*(1-(5!AJ21+5!AJ23)/5!AJ11)*12)*1000)</f>
        <v>0</v>
      </c>
      <c r="J35" s="248">
        <f>IF(ISERROR(I35/G35),0,I35/G35)</f>
        <v>0</v>
      </c>
    </row>
    <row r="36" spans="1:10" ht="11.25">
      <c r="A36" s="144"/>
      <c r="B36" s="99" t="s">
        <v>425</v>
      </c>
      <c r="C36" s="99" t="s">
        <v>733</v>
      </c>
      <c r="D36" s="251" t="s">
        <v>445</v>
      </c>
      <c r="E36" s="422"/>
      <c r="F36" s="422"/>
      <c r="G36" s="422"/>
      <c r="H36" s="422"/>
      <c r="I36" s="422"/>
      <c r="J36" s="247"/>
    </row>
    <row r="37" spans="1:10" ht="11.25">
      <c r="A37" s="144"/>
      <c r="B37" s="99" t="s">
        <v>426</v>
      </c>
      <c r="C37" s="99"/>
      <c r="D37" s="251"/>
      <c r="E37" s="57"/>
      <c r="F37" s="57"/>
      <c r="G37" s="57"/>
      <c r="H37" s="57"/>
      <c r="I37" s="57"/>
      <c r="J37" s="247"/>
    </row>
    <row r="38" spans="1:10" ht="11.25">
      <c r="A38" s="144"/>
      <c r="B38" s="99" t="s">
        <v>29</v>
      </c>
      <c r="C38" s="99" t="s">
        <v>856</v>
      </c>
      <c r="D38" s="251" t="s">
        <v>445</v>
      </c>
      <c r="E38" s="172">
        <f>IF(5!$G$11=0,0,(E27+E52)/(((5!$G$11)*(1-((5!$G$21)+(5!$G$23))/(5!$G$11)))*12)*1000)</f>
        <v>172243.58992778268</v>
      </c>
      <c r="F38" s="172">
        <f>IF(5!$L$11=0,0,(F27+F52)/(((5!$L$11)*(1-((5!$L$21)+(5!$L$23))/(5!$L$11)))*12)*1000)</f>
        <v>191891.67364785823</v>
      </c>
      <c r="G38" s="172">
        <f>IF(5!$Q$11=0,0,(G27+G52)/(((5!$Q$11)*(1-((5!$Q$21)+(5!$Q$23))/(5!$Q$11)))*12)*1000)</f>
        <v>165389.2229249819</v>
      </c>
      <c r="H38" s="172">
        <f>IF(5!$V$11=0,0,(H27+H52)/(((5!$V$11)*(1-((5!$V$21)+(5!$V$23))/(5!$V$11)))*12)*1000)</f>
        <v>185742.32740357</v>
      </c>
      <c r="I38" s="172">
        <f>IF(5!$AK$11=0,0,(I27+I52)/(((5!$AK$11)*(1-((5!$AK$21)+(5!$AK$23))/(5!$AK$11)))*12)*1000)</f>
        <v>549097.3615387363</v>
      </c>
      <c r="J38" s="248">
        <f aca="true" t="shared" si="4" ref="J38:J43">IF(ISERROR(I38/G38),0,I38/G38)</f>
        <v>3.3200310868368894</v>
      </c>
    </row>
    <row r="39" spans="1:10" ht="11.25">
      <c r="A39" s="144"/>
      <c r="B39" s="99" t="s">
        <v>30</v>
      </c>
      <c r="C39" s="99" t="s">
        <v>857</v>
      </c>
      <c r="D39" s="251" t="s">
        <v>445</v>
      </c>
      <c r="E39" s="172">
        <f>IF(5!$H$11=0,0,(E28+E59+E53)/(((5!$H$11)*(1-((5!$H$21)+(5!$H$23))/(5!$H$11)))*12)*1000)</f>
        <v>233915.50185146817</v>
      </c>
      <c r="F39" s="172">
        <f>IF(5!$M$11=0,0,(F28+F59+F53)/(((5!$M$11)*(1-((5!$M$21)+(5!$M$23))/(5!$M$11)))*12)*1000)</f>
        <v>250986.79641183186</v>
      </c>
      <c r="G39" s="172">
        <f>IF(5!$R$11=0,0,(G28+G59+G53)/(((5!$R$11)*(1-((5!$R$21)+(5!$R$23))/(5!$R$11)))*12)*1000)</f>
        <v>230879.28650753244</v>
      </c>
      <c r="H39" s="172">
        <f>IF(5!$W$11=0,0,(H28+H59+H53)/(((5!$W$11)*(1-((5!$W$21)+(5!$W$23))/(5!$W$11)))*12)*1000)</f>
        <v>278422.47796294035</v>
      </c>
      <c r="I39" s="172">
        <f>IF(5!$AL$11=0,0,(I28+I59+I53)/(((5!$AL$11)*(1-((5!$AL$21)+(5!$AL$23))/(5!$AL$11)))*12)*1000)</f>
        <v>328600.24317124765</v>
      </c>
      <c r="J39" s="248">
        <f t="shared" si="4"/>
        <v>1.4232556247982302</v>
      </c>
    </row>
    <row r="40" spans="1:10" ht="11.25">
      <c r="A40" s="144"/>
      <c r="B40" s="99" t="s">
        <v>31</v>
      </c>
      <c r="C40" s="99" t="s">
        <v>734</v>
      </c>
      <c r="D40" s="251" t="s">
        <v>445</v>
      </c>
      <c r="E40" s="172">
        <f>IF(5!$I$11=0,0,(E29+E66)/(((5!$I$11)*(1-((5!$I$21)+(5!$I$23))/(5!$I$11)))*12)*1000)</f>
        <v>321477.02388755395</v>
      </c>
      <c r="F40" s="172">
        <f>IF(5!$N$11=0,0,(F29+F66)/(((5!$N$11)*(1-((5!$N$21)+(5!$N$23))/(5!$N$11)))*12)*1000)</f>
        <v>338061.9348155225</v>
      </c>
      <c r="G40" s="172">
        <f>IF(5!$S$11=0,0,(G29+G66)/(((5!$S$11)*(1-((5!$S$21)+(5!$S$23))/(5!$S$11)))*12)*1000)</f>
        <v>316259.67224787327</v>
      </c>
      <c r="H40" s="172">
        <f>IF(5!$X$11=0,0,(H29+H66)/(((5!$X$11)*(1-((5!$X$21)+(5!$X$23))/(5!$X$11)))*12)*1000)</f>
        <v>372219.41300078935</v>
      </c>
      <c r="I40" s="172">
        <f>IF(5!$AM$11=0,0,(I29+I66)/(((5!$AM$11)*(1-((5!$AM$21)+(5!$AM$23))/(5!$AM$11)))*12)*1000)</f>
        <v>434648.89075247303</v>
      </c>
      <c r="J40" s="248">
        <f t="shared" si="4"/>
        <v>1.3743418111551398</v>
      </c>
    </row>
    <row r="41" spans="1:10" ht="34.5" customHeight="1">
      <c r="A41" s="144" t="s">
        <v>228</v>
      </c>
      <c r="B41" s="99" t="s">
        <v>446</v>
      </c>
      <c r="C41" s="99" t="s">
        <v>394</v>
      </c>
      <c r="D41" s="251" t="s">
        <v>447</v>
      </c>
      <c r="E41" s="422"/>
      <c r="F41" s="422"/>
      <c r="G41" s="422"/>
      <c r="H41" s="422"/>
      <c r="I41" s="422"/>
      <c r="J41" s="248">
        <f t="shared" si="4"/>
        <v>0</v>
      </c>
    </row>
    <row r="42" spans="1:10" ht="11.25">
      <c r="A42" s="144"/>
      <c r="B42" s="99" t="s">
        <v>28</v>
      </c>
      <c r="C42" s="99" t="s">
        <v>738</v>
      </c>
      <c r="D42" s="251" t="s">
        <v>447</v>
      </c>
      <c r="E42" s="172">
        <f>IF((5!F25+5!F29)=0,0,E35*12/((4!F25+4!F29)/(5!F25+5!F29)*1000))</f>
        <v>0</v>
      </c>
      <c r="F42" s="172">
        <f>IF((5!K25+5!K29)=0,0,F35*12/((4!K25+4!K29)/(5!K25+5!K29)*1000))</f>
        <v>0</v>
      </c>
      <c r="G42" s="172">
        <f>IF((5!P25+5!P29)=0,0,G35*12/((4!P25+4!P29)/(5!P25+5!P29)*1000))</f>
        <v>0</v>
      </c>
      <c r="H42" s="172">
        <f>IF((5!U25+5!U29)=0,0,H35*12/((4!U25+4!U29)/(5!U25+5!U29)*1000))</f>
        <v>0</v>
      </c>
      <c r="I42" s="172">
        <f>IF((5!AJ25+5!AJ29)=0,0,I35*12/((4!AJ25+4!AJ29)/(5!AJ25+5!AJ29)*1000))</f>
        <v>0</v>
      </c>
      <c r="J42" s="248">
        <f t="shared" si="4"/>
        <v>0</v>
      </c>
    </row>
    <row r="43" spans="1:10" ht="11.25">
      <c r="A43" s="144"/>
      <c r="B43" s="99" t="s">
        <v>425</v>
      </c>
      <c r="C43" s="99" t="s">
        <v>739</v>
      </c>
      <c r="D43" s="251" t="s">
        <v>447</v>
      </c>
      <c r="E43" s="422"/>
      <c r="F43" s="422"/>
      <c r="G43" s="422"/>
      <c r="H43" s="422"/>
      <c r="I43" s="422"/>
      <c r="J43" s="248">
        <f t="shared" si="4"/>
        <v>0</v>
      </c>
    </row>
    <row r="44" spans="1:10" ht="11.25">
      <c r="A44" s="144"/>
      <c r="B44" s="99" t="s">
        <v>426</v>
      </c>
      <c r="C44" s="99"/>
      <c r="D44" s="251"/>
      <c r="E44" s="57"/>
      <c r="F44" s="57"/>
      <c r="G44" s="57"/>
      <c r="H44" s="57"/>
      <c r="I44" s="57"/>
      <c r="J44" s="247"/>
    </row>
    <row r="45" spans="1:10" ht="11.25">
      <c r="A45" s="144"/>
      <c r="B45" s="99" t="s">
        <v>29</v>
      </c>
      <c r="C45" s="99" t="s">
        <v>858</v>
      </c>
      <c r="D45" s="251" t="s">
        <v>447</v>
      </c>
      <c r="E45" s="172">
        <f>IF((5!G25+5!G29)=0,0,E38*12/((4!G25+4!G29)/(5!G25+5!G29)*1000))</f>
        <v>0</v>
      </c>
      <c r="F45" s="172">
        <f>IF((5!L25+5!L29)=0,0,F38*12/((4!L25+4!L29)/(5!L25+5!L29)*1000))</f>
        <v>3837.8334729571648</v>
      </c>
      <c r="G45" s="172">
        <f>IF((5!Q25+5!Q29)=0,0,G38*12/((4!Q25+4!Q29)/(5!Q25+5!Q29)*1000))</f>
        <v>0</v>
      </c>
      <c r="H45" s="172">
        <f>IF((5!V25+5!V29)=0,0,H38*12/((4!V25+4!V29)/(5!V25+5!V29)*1000))</f>
        <v>0</v>
      </c>
      <c r="I45" s="172">
        <f>IF((5!AK25+5!AK29)=0,0,I38*12/((4!AK25+4!AK29)/(5!AK25+5!AK29)*1000))</f>
        <v>915.1622692312271</v>
      </c>
      <c r="J45" s="248">
        <f>IF(ISERROR(I45/G45),0,I45/G45)</f>
        <v>0</v>
      </c>
    </row>
    <row r="46" spans="1:10" ht="11.25">
      <c r="A46" s="144"/>
      <c r="B46" s="99" t="s">
        <v>30</v>
      </c>
      <c r="C46" s="99" t="s">
        <v>859</v>
      </c>
      <c r="D46" s="251" t="s">
        <v>447</v>
      </c>
      <c r="E46" s="172">
        <f>IF((5!H25+5!H29)=0,0,E39*12/((4!H25+4!H29)/(5!H25+5!H29)*1000))</f>
        <v>426.39454337496204</v>
      </c>
      <c r="F46" s="172">
        <f>IF((5!M25+5!M29)=0,0,F39*12/((4!M25+4!M29)/(5!M25+5!M29)*1000))</f>
        <v>443.089125080711</v>
      </c>
      <c r="G46" s="172">
        <f>IF((5!R25+5!R29)=0,0,G39*12/((4!R25+4!R29)/(5!R25+5!R29)*1000))</f>
        <v>403.1848143010991</v>
      </c>
      <c r="H46" s="172">
        <f>IF((5!W25+5!W29)=0,0,H39*12/((4!W25+4!W29)/(5!W25+5!W29)*1000))</f>
        <v>486.2095546673375</v>
      </c>
      <c r="I46" s="172">
        <f>IF((5!AL25+5!AL29)=0,0,I39*12/((4!AL25+4!AL29)/(5!AL25+5!AL29)*1000))</f>
        <v>593.9921254791889</v>
      </c>
      <c r="J46" s="248">
        <f>IF(ISERROR(I46/G46),0,I46/G46)</f>
        <v>1.4732502425936969</v>
      </c>
    </row>
    <row r="47" spans="1:10" ht="12" thickBot="1">
      <c r="A47" s="173"/>
      <c r="B47" s="116" t="s">
        <v>31</v>
      </c>
      <c r="C47" s="116" t="s">
        <v>740</v>
      </c>
      <c r="D47" s="253" t="s">
        <v>447</v>
      </c>
      <c r="E47" s="234">
        <f>IF((5!I25+5!I29)=0,0,E40*12/((4!I25+4!I29)/(5!I25+5!I29)*1000))</f>
        <v>663.1938541083459</v>
      </c>
      <c r="F47" s="234">
        <f>IF((5!N25+5!N29)=0,0,F40*12/((4!N25+4!N29)/(5!N25+5!N29)*1000))</f>
        <v>730.5623699929548</v>
      </c>
      <c r="G47" s="234">
        <f>IF((5!S25+5!S29)=0,0,G40*12/((4!S25+4!S29)/(5!S25+5!S29)*1000))</f>
        <v>649.7273681330792</v>
      </c>
      <c r="H47" s="234">
        <f>IF((5!X25+5!X29)=0,0,H40*12/((4!X25+4!X29)/(5!X25+5!X29)*1000))</f>
        <v>764.6916783860316</v>
      </c>
      <c r="I47" s="234">
        <f>IF((5!AM25+5!AM29)=0,0,I40*12/((4!AM25+4!AM29)/(5!AM25+5!AM29)*1000))</f>
        <v>942.8721067105147</v>
      </c>
      <c r="J47" s="250">
        <f>IF(ISERROR(I47/G47),0,I47/G47)</f>
        <v>1.4511811460547752</v>
      </c>
    </row>
    <row r="48" spans="1:10" ht="12" thickBot="1">
      <c r="A48" s="165"/>
      <c r="B48" s="170"/>
      <c r="C48" s="170"/>
      <c r="D48" s="165"/>
      <c r="E48" s="165"/>
      <c r="F48" s="165"/>
      <c r="G48" s="165"/>
      <c r="H48" s="165"/>
      <c r="I48" s="165"/>
      <c r="J48" s="174"/>
    </row>
    <row r="49" spans="1:10" ht="12" thickBot="1">
      <c r="A49" s="175"/>
      <c r="B49" s="877" t="s">
        <v>448</v>
      </c>
      <c r="C49" s="244" t="s">
        <v>758</v>
      </c>
      <c r="D49" s="245"/>
      <c r="E49" s="235">
        <f>E24-E35*(5!F25+5!F29)*12/1000</f>
        <v>0</v>
      </c>
      <c r="F49" s="235">
        <f>F24-F35*(5!K25+5!K29)*12/1000</f>
        <v>0</v>
      </c>
      <c r="G49" s="235">
        <f>G24-G35*(5!P25+5!P29)*12/1000</f>
        <v>0</v>
      </c>
      <c r="H49" s="235">
        <f>H24-H35*(5!U25+5!U29)*12/1000</f>
        <v>0</v>
      </c>
      <c r="I49" s="235">
        <f>I24-I35*(5!AJ25+5!AJ29)*12/1000</f>
        <v>0</v>
      </c>
      <c r="J49" s="246">
        <f>IF(ISERROR(I49/G49),0,I49/G49)</f>
        <v>0</v>
      </c>
    </row>
    <row r="50" spans="1:10" ht="11.25" customHeight="1" thickBot="1">
      <c r="A50" s="144"/>
      <c r="B50" s="786"/>
      <c r="C50" s="244" t="s">
        <v>759</v>
      </c>
      <c r="D50" s="144"/>
      <c r="E50" s="146"/>
      <c r="F50" s="146"/>
      <c r="G50" s="146"/>
      <c r="H50" s="146"/>
      <c r="I50" s="146"/>
      <c r="J50" s="247"/>
    </row>
    <row r="51" spans="1:10" ht="12" thickBot="1">
      <c r="A51" s="144"/>
      <c r="B51" s="786"/>
      <c r="C51" s="244" t="s">
        <v>760</v>
      </c>
      <c r="D51" s="144"/>
      <c r="E51" s="146"/>
      <c r="F51" s="146"/>
      <c r="G51" s="146"/>
      <c r="H51" s="146"/>
      <c r="I51" s="146"/>
      <c r="J51" s="247"/>
    </row>
    <row r="52" spans="1:10" ht="12" thickBot="1">
      <c r="A52" s="144"/>
      <c r="B52" s="786"/>
      <c r="C52" s="244" t="s">
        <v>761</v>
      </c>
      <c r="D52" s="144"/>
      <c r="E52" s="177">
        <f>IF((5!G15+5!H15)=0,0,E49*5!G15/(5!G15+5!H15))</f>
        <v>0</v>
      </c>
      <c r="F52" s="177">
        <f>IF((5!L15+5!M15)=0,0,F49*5!L15/(5!L15+5!M15))</f>
        <v>0</v>
      </c>
      <c r="G52" s="177">
        <f>IF((5!Q15+5!R15)=0,0,G49*5!Q15/(5!Q15+5!R15))</f>
        <v>0</v>
      </c>
      <c r="H52" s="177">
        <f>IF((5!V15+5!W15)=0,0,H49*5!V15/(5!V15+5!W15))</f>
        <v>0</v>
      </c>
      <c r="I52" s="177">
        <f>IF((5!AK15+5!AL15)=0,0,I49*5!AK15/(5!AK15+5!AL15))</f>
        <v>0</v>
      </c>
      <c r="J52" s="248">
        <f>IF(ISERROR(I52/G52),0,I52/G52)</f>
        <v>0</v>
      </c>
    </row>
    <row r="53" spans="1:10" ht="12" thickBot="1">
      <c r="A53" s="144"/>
      <c r="B53" s="786"/>
      <c r="C53" s="244" t="s">
        <v>860</v>
      </c>
      <c r="D53" s="144"/>
      <c r="E53" s="177">
        <f>E49-E52</f>
        <v>0</v>
      </c>
      <c r="F53" s="177">
        <f>F49-F52</f>
        <v>0</v>
      </c>
      <c r="G53" s="177">
        <f>G49-G52</f>
        <v>0</v>
      </c>
      <c r="H53" s="177">
        <f>H49-H52</f>
        <v>0</v>
      </c>
      <c r="I53" s="177">
        <f>I49-I52</f>
        <v>0</v>
      </c>
      <c r="J53" s="248">
        <f>IF(ISERROR(I53/G53),0,I53/G53)</f>
        <v>0</v>
      </c>
    </row>
    <row r="54" spans="1:10" ht="11.25" customHeight="1" thickBot="1">
      <c r="A54" s="144"/>
      <c r="B54" s="786"/>
      <c r="C54" s="244" t="s">
        <v>861</v>
      </c>
      <c r="D54" s="144"/>
      <c r="E54" s="146"/>
      <c r="F54" s="146"/>
      <c r="G54" s="146"/>
      <c r="H54" s="146"/>
      <c r="I54" s="146"/>
      <c r="J54" s="247"/>
    </row>
    <row r="55" spans="1:10" ht="12" thickBot="1">
      <c r="A55" s="144"/>
      <c r="B55" s="786" t="s">
        <v>449</v>
      </c>
      <c r="C55" s="244" t="s">
        <v>862</v>
      </c>
      <c r="D55" s="249"/>
      <c r="E55" s="146"/>
      <c r="F55" s="146"/>
      <c r="G55" s="146"/>
      <c r="H55" s="146"/>
      <c r="I55" s="146"/>
      <c r="J55" s="247"/>
    </row>
    <row r="56" spans="1:10" ht="12" thickBot="1">
      <c r="A56" s="144"/>
      <c r="B56" s="786"/>
      <c r="C56" s="244" t="s">
        <v>863</v>
      </c>
      <c r="D56" s="144"/>
      <c r="E56" s="146"/>
      <c r="F56" s="146"/>
      <c r="G56" s="146"/>
      <c r="H56" s="146"/>
      <c r="I56" s="146"/>
      <c r="J56" s="247"/>
    </row>
    <row r="57" spans="1:10" ht="12" thickBot="1">
      <c r="A57" s="144"/>
      <c r="B57" s="786"/>
      <c r="C57" s="244" t="s">
        <v>864</v>
      </c>
      <c r="D57" s="144"/>
      <c r="E57" s="146"/>
      <c r="F57" s="146"/>
      <c r="G57" s="146"/>
      <c r="H57" s="146"/>
      <c r="I57" s="146"/>
      <c r="J57" s="247"/>
    </row>
    <row r="58" spans="1:10" ht="12" thickBot="1">
      <c r="A58" s="144"/>
      <c r="B58" s="786"/>
      <c r="C58" s="244" t="s">
        <v>865</v>
      </c>
      <c r="D58" s="144"/>
      <c r="E58" s="146"/>
      <c r="F58" s="146"/>
      <c r="G58" s="146"/>
      <c r="H58" s="146"/>
      <c r="I58" s="146"/>
      <c r="J58" s="247"/>
    </row>
    <row r="59" spans="1:10" ht="12" thickBot="1">
      <c r="A59" s="144"/>
      <c r="B59" s="786"/>
      <c r="C59" s="244" t="s">
        <v>866</v>
      </c>
      <c r="D59" s="144"/>
      <c r="E59" s="172">
        <f>E27+E52-E38*(5!$G$25+5!$G$29)*12/1000</f>
        <v>2914.361541578083</v>
      </c>
      <c r="F59" s="172">
        <f>F27+F52-F38*(5!$L$25+5!$L$29)*12/1000</f>
        <v>3223.7801172840177</v>
      </c>
      <c r="G59" s="172">
        <f>G27+G52-G38*(5!$Q$25+5!$Q$29)*12/1000</f>
        <v>2897.619185645683</v>
      </c>
      <c r="H59" s="172">
        <f>H27+H52-H38*(5!$V$25+5!$V$29)*12/1000</f>
        <v>3254.205576110546</v>
      </c>
      <c r="I59" s="172">
        <f>I27+I52-I38*(5!$AK$25+5!$AK$29)*12/1000</f>
        <v>6315.717852418543</v>
      </c>
      <c r="J59" s="248">
        <f>IF(ISERROR(I59/G59),0,I59/G59)</f>
        <v>2.179623148447368</v>
      </c>
    </row>
    <row r="60" spans="1:10" ht="12" thickBot="1">
      <c r="A60" s="144"/>
      <c r="B60" s="786"/>
      <c r="C60" s="244" t="s">
        <v>867</v>
      </c>
      <c r="D60" s="144"/>
      <c r="E60" s="146"/>
      <c r="F60" s="146"/>
      <c r="G60" s="146"/>
      <c r="H60" s="146"/>
      <c r="I60" s="146"/>
      <c r="J60" s="247"/>
    </row>
    <row r="61" spans="1:10" ht="12" thickBot="1">
      <c r="A61" s="144"/>
      <c r="B61" s="786" t="s">
        <v>450</v>
      </c>
      <c r="C61" s="244" t="s">
        <v>868</v>
      </c>
      <c r="D61" s="249"/>
      <c r="E61" s="146"/>
      <c r="F61" s="146"/>
      <c r="G61" s="146"/>
      <c r="H61" s="146"/>
      <c r="I61" s="146"/>
      <c r="J61" s="247"/>
    </row>
    <row r="62" spans="1:10" ht="12" thickBot="1">
      <c r="A62" s="144"/>
      <c r="B62" s="786"/>
      <c r="C62" s="244" t="s">
        <v>869</v>
      </c>
      <c r="D62" s="144"/>
      <c r="E62" s="146"/>
      <c r="F62" s="146"/>
      <c r="G62" s="146"/>
      <c r="H62" s="146"/>
      <c r="I62" s="146"/>
      <c r="J62" s="247"/>
    </row>
    <row r="63" spans="1:10" ht="12" thickBot="1">
      <c r="A63" s="144"/>
      <c r="B63" s="786"/>
      <c r="C63" s="244" t="s">
        <v>870</v>
      </c>
      <c r="D63" s="144"/>
      <c r="E63" s="146"/>
      <c r="F63" s="146"/>
      <c r="G63" s="146"/>
      <c r="H63" s="146"/>
      <c r="I63" s="146"/>
      <c r="J63" s="247"/>
    </row>
    <row r="64" spans="1:10" ht="12" thickBot="1">
      <c r="A64" s="144"/>
      <c r="B64" s="786"/>
      <c r="C64" s="244" t="s">
        <v>871</v>
      </c>
      <c r="D64" s="144"/>
      <c r="E64" s="146"/>
      <c r="F64" s="146"/>
      <c r="G64" s="146"/>
      <c r="H64" s="146"/>
      <c r="I64" s="146"/>
      <c r="J64" s="247"/>
    </row>
    <row r="65" spans="1:10" ht="12" thickBot="1">
      <c r="A65" s="144"/>
      <c r="B65" s="786"/>
      <c r="C65" s="244" t="s">
        <v>872</v>
      </c>
      <c r="D65" s="144"/>
      <c r="E65" s="146"/>
      <c r="F65" s="146"/>
      <c r="G65" s="146"/>
      <c r="H65" s="146"/>
      <c r="I65" s="146"/>
      <c r="J65" s="247"/>
    </row>
    <row r="66" spans="1:10" ht="12" thickBot="1">
      <c r="A66" s="173"/>
      <c r="B66" s="878"/>
      <c r="C66" s="244" t="s">
        <v>873</v>
      </c>
      <c r="D66" s="173"/>
      <c r="E66" s="234">
        <f>E28+E53+E59-E39*(5!$H$25+5!$H$29)*12/1000</f>
        <v>27424.25343706613</v>
      </c>
      <c r="F66" s="234">
        <f>F28+F53+F59-F39*(5!$M$25+5!$M$29)*12/1000</f>
        <v>30787.044395060948</v>
      </c>
      <c r="G66" s="234">
        <f>G28+G53+G59-G39*(5!$R$25+5!$R$29)*12/1000</f>
        <v>27589.1512205041</v>
      </c>
      <c r="H66" s="234">
        <f>H28+H53+H59-H39*(5!$W$25+5!$W$29)*12/1000</f>
        <v>33270.37242665952</v>
      </c>
      <c r="I66" s="234">
        <f>I28+I53+I59-I39*(5!$AL$25+5!$AL$29)*12/1000</f>
        <v>40607.10365013011</v>
      </c>
      <c r="J66" s="250">
        <f>IF(ISERROR(I66/G66),0,I66/G66)</f>
        <v>1.4718504141566757</v>
      </c>
    </row>
    <row r="67" spans="3:9" ht="11.25" hidden="1">
      <c r="C67" s="183" t="s">
        <v>874</v>
      </c>
      <c r="E67" t="e">
        <f>CUR_VER</f>
        <v>#NAME?</v>
      </c>
      <c r="F67" t="e">
        <f>CUR_VER</f>
        <v>#NAME?</v>
      </c>
      <c r="G67" t="e">
        <f>CUR_VER</f>
        <v>#NAME?</v>
      </c>
      <c r="H67" t="e">
        <f>CUR_VER</f>
        <v>#NAME?</v>
      </c>
      <c r="I67" s="14" t="s">
        <v>419</v>
      </c>
    </row>
    <row r="68" spans="3:9" ht="11.25" hidden="1">
      <c r="C68" s="183" t="s">
        <v>875</v>
      </c>
      <c r="E68">
        <v>2005</v>
      </c>
      <c r="F68">
        <v>2005</v>
      </c>
      <c r="G68">
        <v>2006</v>
      </c>
      <c r="H68">
        <v>2006</v>
      </c>
      <c r="I68">
        <v>2007</v>
      </c>
    </row>
    <row r="69" spans="3:9" ht="11.25" hidden="1">
      <c r="C69" s="183" t="s">
        <v>876</v>
      </c>
      <c r="E69" t="s">
        <v>451</v>
      </c>
      <c r="F69" t="s">
        <v>81</v>
      </c>
      <c r="G69" t="s">
        <v>451</v>
      </c>
      <c r="H69" t="s">
        <v>452</v>
      </c>
      <c r="I69" t="s">
        <v>82</v>
      </c>
    </row>
    <row r="70" spans="2:3" s="179" customFormat="1" ht="11.25">
      <c r="B70" s="180"/>
      <c r="C70" s="180"/>
    </row>
    <row r="71" spans="2:3" s="179" customFormat="1" ht="11.25">
      <c r="B71" s="180"/>
      <c r="C71" s="180"/>
    </row>
    <row r="72" spans="2:3" s="179" customFormat="1" ht="11.25">
      <c r="B72" s="180"/>
      <c r="C72" s="180"/>
    </row>
    <row r="73" spans="2:6" s="179" customFormat="1" ht="15">
      <c r="B73" s="576" t="s">
        <v>1291</v>
      </c>
      <c r="C73" s="608"/>
      <c r="D73" s="607"/>
      <c r="E73" s="608" t="s">
        <v>1351</v>
      </c>
      <c r="F73"/>
    </row>
    <row r="74" spans="2:6" s="179" customFormat="1" ht="15">
      <c r="B74" s="576" t="s">
        <v>1354</v>
      </c>
      <c r="C74" s="576"/>
      <c r="D74" s="576" t="s">
        <v>1288</v>
      </c>
      <c r="E74" s="576"/>
      <c r="F74"/>
    </row>
    <row r="75" spans="2:6" s="179" customFormat="1" ht="15">
      <c r="B75" s="576" t="s">
        <v>1355</v>
      </c>
      <c r="C75" s="576"/>
      <c r="D75" s="576"/>
      <c r="E75" s="576"/>
      <c r="F75"/>
    </row>
    <row r="76" spans="2:3" s="179" customFormat="1" ht="11.25">
      <c r="B76" s="180"/>
      <c r="C76" s="180"/>
    </row>
    <row r="77" spans="2:3" s="179" customFormat="1" ht="11.25">
      <c r="B77" s="180"/>
      <c r="C77" s="180"/>
    </row>
    <row r="78" spans="2:3" s="179" customFormat="1" ht="11.25">
      <c r="B78" s="180"/>
      <c r="C78" s="180"/>
    </row>
    <row r="79" spans="2:3" s="179" customFormat="1" ht="11.25">
      <c r="B79" s="180"/>
      <c r="C79" s="180"/>
    </row>
    <row r="80" spans="2:3" s="179" customFormat="1" ht="11.25">
      <c r="B80" s="180"/>
      <c r="C80" s="180"/>
    </row>
    <row r="81" spans="2:3" s="179" customFormat="1" ht="11.25">
      <c r="B81" s="180"/>
      <c r="C81" s="180"/>
    </row>
    <row r="82" spans="2:3" s="179" customFormat="1" ht="11.25">
      <c r="B82" s="180"/>
      <c r="C82" s="180"/>
    </row>
    <row r="83" spans="2:3" s="179" customFormat="1" ht="11.25">
      <c r="B83" s="180"/>
      <c r="C83" s="180"/>
    </row>
    <row r="84" spans="2:3" s="179" customFormat="1" ht="11.25">
      <c r="B84" s="180"/>
      <c r="C84" s="180"/>
    </row>
    <row r="85" spans="2:3" s="179" customFormat="1" ht="11.25">
      <c r="B85" s="180"/>
      <c r="C85" s="180"/>
    </row>
    <row r="86" spans="2:3" s="179" customFormat="1" ht="11.25">
      <c r="B86" s="180"/>
      <c r="C86" s="180"/>
    </row>
    <row r="87" spans="2:3" s="179" customFormat="1" ht="11.25">
      <c r="B87" s="180"/>
      <c r="C87" s="180"/>
    </row>
    <row r="88" spans="2:3" s="179" customFormat="1" ht="11.25">
      <c r="B88" s="180"/>
      <c r="C88" s="180"/>
    </row>
    <row r="89" spans="2:3" s="179" customFormat="1" ht="11.25">
      <c r="B89" s="180"/>
      <c r="C89" s="180"/>
    </row>
    <row r="90" spans="2:3" s="179" customFormat="1" ht="11.25">
      <c r="B90" s="180"/>
      <c r="C90" s="180"/>
    </row>
    <row r="91" spans="2:3" s="179" customFormat="1" ht="11.25">
      <c r="B91" s="180"/>
      <c r="C91" s="180"/>
    </row>
    <row r="92" spans="2:3" s="179" customFormat="1" ht="11.25">
      <c r="B92" s="180"/>
      <c r="C92" s="180"/>
    </row>
    <row r="93" spans="2:3" s="179" customFormat="1" ht="11.25">
      <c r="B93" s="180"/>
      <c r="C93" s="180"/>
    </row>
    <row r="94" spans="2:3" s="179" customFormat="1" ht="11.25">
      <c r="B94" s="180"/>
      <c r="C94" s="180"/>
    </row>
    <row r="95" spans="2:3" s="179" customFormat="1" ht="11.25">
      <c r="B95" s="180"/>
      <c r="C95" s="180"/>
    </row>
    <row r="96" spans="2:3" s="179" customFormat="1" ht="11.25">
      <c r="B96" s="180"/>
      <c r="C96" s="180"/>
    </row>
    <row r="97" spans="2:3" s="179" customFormat="1" ht="11.25">
      <c r="B97" s="180"/>
      <c r="C97" s="180"/>
    </row>
    <row r="98" spans="2:3" s="179" customFormat="1" ht="11.25">
      <c r="B98" s="180"/>
      <c r="C98" s="180"/>
    </row>
    <row r="99" spans="2:3" s="179" customFormat="1" ht="11.25">
      <c r="B99" s="180"/>
      <c r="C99" s="180"/>
    </row>
    <row r="100" spans="2:3" s="179" customFormat="1" ht="11.25">
      <c r="B100" s="180"/>
      <c r="C100" s="180"/>
    </row>
    <row r="101" spans="2:3" s="179" customFormat="1" ht="11.25">
      <c r="B101" s="180"/>
      <c r="C101" s="180"/>
    </row>
    <row r="102" spans="2:3" s="179" customFormat="1" ht="11.25">
      <c r="B102" s="180"/>
      <c r="C102" s="180"/>
    </row>
    <row r="103" spans="2:3" s="179" customFormat="1" ht="11.25">
      <c r="B103" s="180"/>
      <c r="C103" s="180"/>
    </row>
    <row r="104" spans="2:3" s="179" customFormat="1" ht="11.25">
      <c r="B104" s="180"/>
      <c r="C104" s="180"/>
    </row>
    <row r="105" spans="2:3" s="179" customFormat="1" ht="11.25">
      <c r="B105" s="180"/>
      <c r="C105" s="180"/>
    </row>
    <row r="106" spans="2:3" s="179" customFormat="1" ht="11.25">
      <c r="B106" s="180"/>
      <c r="C106" s="180"/>
    </row>
    <row r="107" spans="2:3" s="179" customFormat="1" ht="11.25">
      <c r="B107" s="180"/>
      <c r="C107" s="180"/>
    </row>
    <row r="108" spans="2:3" s="179" customFormat="1" ht="11.25">
      <c r="B108" s="180"/>
      <c r="C108" s="180"/>
    </row>
    <row r="109" spans="2:3" s="179" customFormat="1" ht="11.25">
      <c r="B109" s="180"/>
      <c r="C109" s="180"/>
    </row>
    <row r="110" spans="2:3" s="179" customFormat="1" ht="11.25">
      <c r="B110" s="180"/>
      <c r="C110" s="180"/>
    </row>
    <row r="111" spans="2:3" s="179" customFormat="1" ht="11.25">
      <c r="B111" s="180"/>
      <c r="C111" s="180"/>
    </row>
    <row r="112" spans="2:3" s="179" customFormat="1" ht="11.25">
      <c r="B112" s="180"/>
      <c r="C112" s="180"/>
    </row>
    <row r="113" spans="2:3" s="179" customFormat="1" ht="11.25">
      <c r="B113" s="180"/>
      <c r="C113" s="180"/>
    </row>
    <row r="114" spans="2:3" s="179" customFormat="1" ht="11.25">
      <c r="B114" s="180"/>
      <c r="C114" s="180"/>
    </row>
    <row r="115" spans="2:3" s="179" customFormat="1" ht="11.25">
      <c r="B115" s="180"/>
      <c r="C115" s="180"/>
    </row>
    <row r="116" spans="2:3" s="179" customFormat="1" ht="11.25">
      <c r="B116" s="180"/>
      <c r="C116" s="180"/>
    </row>
    <row r="117" spans="2:3" s="179" customFormat="1" ht="11.25">
      <c r="B117" s="180"/>
      <c r="C117" s="180"/>
    </row>
    <row r="118" spans="2:3" s="179" customFormat="1" ht="11.25">
      <c r="B118" s="180"/>
      <c r="C118" s="180"/>
    </row>
    <row r="119" spans="2:3" s="179" customFormat="1" ht="11.25">
      <c r="B119" s="180"/>
      <c r="C119" s="180"/>
    </row>
    <row r="120" spans="2:3" s="179" customFormat="1" ht="11.25">
      <c r="B120" s="180"/>
      <c r="C120" s="180"/>
    </row>
    <row r="121" spans="2:3" s="179" customFormat="1" ht="11.25">
      <c r="B121" s="180"/>
      <c r="C121" s="180"/>
    </row>
    <row r="122" spans="2:3" s="179" customFormat="1" ht="11.25">
      <c r="B122" s="180"/>
      <c r="C122" s="180"/>
    </row>
    <row r="123" spans="2:3" s="179" customFormat="1" ht="11.25">
      <c r="B123" s="180"/>
      <c r="C123" s="180"/>
    </row>
    <row r="124" spans="2:3" s="179" customFormat="1" ht="11.25">
      <c r="B124" s="180"/>
      <c r="C124" s="180"/>
    </row>
    <row r="125" spans="2:3" s="179" customFormat="1" ht="11.25">
      <c r="B125" s="180"/>
      <c r="C125" s="180"/>
    </row>
    <row r="126" spans="2:3" s="179" customFormat="1" ht="11.25">
      <c r="B126" s="180"/>
      <c r="C126" s="180"/>
    </row>
    <row r="127" spans="2:3" s="179" customFormat="1" ht="11.25">
      <c r="B127" s="180"/>
      <c r="C127" s="180"/>
    </row>
    <row r="128" spans="2:3" s="179" customFormat="1" ht="11.25">
      <c r="B128" s="180"/>
      <c r="C128" s="180"/>
    </row>
    <row r="129" spans="2:3" s="179" customFormat="1" ht="11.25">
      <c r="B129" s="180"/>
      <c r="C129" s="180"/>
    </row>
    <row r="130" spans="2:3" s="179" customFormat="1" ht="11.25">
      <c r="B130" s="180"/>
      <c r="C130" s="180"/>
    </row>
    <row r="131" spans="2:3" s="179" customFormat="1" ht="11.25">
      <c r="B131" s="180"/>
      <c r="C131" s="180"/>
    </row>
    <row r="132" spans="2:3" s="179" customFormat="1" ht="11.25">
      <c r="B132" s="180"/>
      <c r="C132" s="180"/>
    </row>
    <row r="133" spans="2:3" s="179" customFormat="1" ht="11.25">
      <c r="B133" s="180"/>
      <c r="C133" s="180"/>
    </row>
    <row r="134" spans="2:3" s="179" customFormat="1" ht="11.25">
      <c r="B134" s="180"/>
      <c r="C134" s="180"/>
    </row>
    <row r="135" spans="2:3" s="179" customFormat="1" ht="11.25">
      <c r="B135" s="180"/>
      <c r="C135" s="180"/>
    </row>
    <row r="136" spans="2:3" s="179" customFormat="1" ht="11.25">
      <c r="B136" s="180"/>
      <c r="C136" s="180"/>
    </row>
    <row r="137" spans="2:3" s="179" customFormat="1" ht="11.25">
      <c r="B137" s="180"/>
      <c r="C137" s="180"/>
    </row>
    <row r="138" spans="2:3" s="179" customFormat="1" ht="11.25">
      <c r="B138" s="180"/>
      <c r="C138" s="180"/>
    </row>
    <row r="139" spans="2:3" s="179" customFormat="1" ht="11.25">
      <c r="B139" s="180"/>
      <c r="C139" s="180"/>
    </row>
    <row r="140" spans="2:3" s="179" customFormat="1" ht="11.25">
      <c r="B140" s="180"/>
      <c r="C140" s="180"/>
    </row>
    <row r="141" spans="2:3" s="179" customFormat="1" ht="11.25">
      <c r="B141" s="180"/>
      <c r="C141" s="180"/>
    </row>
    <row r="142" spans="2:3" s="179" customFormat="1" ht="11.25">
      <c r="B142" s="180"/>
      <c r="C142" s="180"/>
    </row>
    <row r="143" spans="2:3" s="179" customFormat="1" ht="11.25">
      <c r="B143" s="180"/>
      <c r="C143" s="180"/>
    </row>
    <row r="144" spans="2:3" s="179" customFormat="1" ht="11.25">
      <c r="B144" s="180"/>
      <c r="C144" s="180"/>
    </row>
    <row r="145" spans="2:3" s="179" customFormat="1" ht="11.25">
      <c r="B145" s="180"/>
      <c r="C145" s="180"/>
    </row>
    <row r="146" spans="2:3" s="179" customFormat="1" ht="11.25">
      <c r="B146" s="180"/>
      <c r="C146" s="180"/>
    </row>
    <row r="147" spans="2:3" s="179" customFormat="1" ht="11.25">
      <c r="B147" s="180"/>
      <c r="C147" s="180"/>
    </row>
    <row r="148" spans="2:3" s="179" customFormat="1" ht="11.25">
      <c r="B148" s="180"/>
      <c r="C148" s="180"/>
    </row>
    <row r="149" spans="2:3" s="179" customFormat="1" ht="11.25">
      <c r="B149" s="180"/>
      <c r="C149" s="180"/>
    </row>
    <row r="150" spans="2:3" s="179" customFormat="1" ht="11.25">
      <c r="B150" s="180"/>
      <c r="C150" s="180"/>
    </row>
    <row r="151" spans="2:3" s="179" customFormat="1" ht="11.25">
      <c r="B151" s="180"/>
      <c r="C151" s="180"/>
    </row>
    <row r="152" spans="2:3" s="179" customFormat="1" ht="11.25">
      <c r="B152" s="180"/>
      <c r="C152" s="180"/>
    </row>
    <row r="153" spans="2:3" s="179" customFormat="1" ht="11.25">
      <c r="B153" s="180"/>
      <c r="C153" s="180"/>
    </row>
    <row r="154" spans="2:3" s="179" customFormat="1" ht="11.25">
      <c r="B154" s="180"/>
      <c r="C154" s="180"/>
    </row>
    <row r="155" spans="2:3" s="179" customFormat="1" ht="11.25">
      <c r="B155" s="180"/>
      <c r="C155" s="180"/>
    </row>
    <row r="156" spans="2:3" s="179" customFormat="1" ht="11.25">
      <c r="B156" s="180"/>
      <c r="C156" s="180"/>
    </row>
    <row r="157" spans="2:3" s="179" customFormat="1" ht="11.25">
      <c r="B157" s="180"/>
      <c r="C157" s="180"/>
    </row>
    <row r="158" spans="2:3" s="179" customFormat="1" ht="11.25">
      <c r="B158" s="180"/>
      <c r="C158" s="180"/>
    </row>
    <row r="159" spans="2:3" s="179" customFormat="1" ht="11.25">
      <c r="B159" s="180"/>
      <c r="C159" s="180"/>
    </row>
    <row r="160" spans="2:3" s="179" customFormat="1" ht="11.25">
      <c r="B160" s="180"/>
      <c r="C160" s="180"/>
    </row>
    <row r="161" spans="2:3" s="179" customFormat="1" ht="11.25">
      <c r="B161" s="180"/>
      <c r="C161" s="180"/>
    </row>
    <row r="162" spans="2:3" s="179" customFormat="1" ht="11.25">
      <c r="B162" s="180"/>
      <c r="C162" s="180"/>
    </row>
    <row r="163" spans="2:3" s="179" customFormat="1" ht="11.25">
      <c r="B163" s="180"/>
      <c r="C163" s="180"/>
    </row>
    <row r="164" spans="2:3" s="179" customFormat="1" ht="11.25">
      <c r="B164" s="180"/>
      <c r="C164" s="180"/>
    </row>
    <row r="165" spans="2:3" s="179" customFormat="1" ht="11.25">
      <c r="B165" s="180"/>
      <c r="C165" s="180"/>
    </row>
    <row r="166" spans="2:3" s="179" customFormat="1" ht="11.25">
      <c r="B166" s="180"/>
      <c r="C166" s="180"/>
    </row>
    <row r="167" spans="2:3" s="179" customFormat="1" ht="11.25">
      <c r="B167" s="180"/>
      <c r="C167" s="180"/>
    </row>
    <row r="168" spans="2:3" s="179" customFormat="1" ht="11.25">
      <c r="B168" s="180"/>
      <c r="C168" s="180"/>
    </row>
    <row r="169" spans="2:3" s="179" customFormat="1" ht="11.25">
      <c r="B169" s="180"/>
      <c r="C169" s="180"/>
    </row>
    <row r="170" spans="2:3" s="179" customFormat="1" ht="11.25">
      <c r="B170" s="180"/>
      <c r="C170" s="180"/>
    </row>
    <row r="171" spans="2:3" s="179" customFormat="1" ht="11.25">
      <c r="B171" s="180"/>
      <c r="C171" s="180"/>
    </row>
    <row r="172" spans="2:3" s="179" customFormat="1" ht="11.25">
      <c r="B172" s="180"/>
      <c r="C172" s="180"/>
    </row>
    <row r="173" spans="2:3" s="179" customFormat="1" ht="11.25">
      <c r="B173" s="180"/>
      <c r="C173" s="180"/>
    </row>
    <row r="174" spans="2:3" s="179" customFormat="1" ht="11.25">
      <c r="B174" s="180"/>
      <c r="C174" s="180"/>
    </row>
    <row r="175" spans="2:3" s="179" customFormat="1" ht="11.25">
      <c r="B175" s="180"/>
      <c r="C175" s="180"/>
    </row>
    <row r="176" spans="2:3" s="179" customFormat="1" ht="11.25">
      <c r="B176" s="180"/>
      <c r="C176" s="180"/>
    </row>
    <row r="177" spans="2:3" s="179" customFormat="1" ht="11.25">
      <c r="B177" s="180"/>
      <c r="C177" s="180"/>
    </row>
    <row r="178" spans="2:3" s="179" customFormat="1" ht="11.25">
      <c r="B178" s="180"/>
      <c r="C178" s="180"/>
    </row>
    <row r="179" spans="2:3" s="179" customFormat="1" ht="11.25">
      <c r="B179" s="180"/>
      <c r="C179" s="180"/>
    </row>
    <row r="180" spans="2:3" s="179" customFormat="1" ht="11.25">
      <c r="B180" s="180"/>
      <c r="C180" s="180"/>
    </row>
    <row r="181" spans="2:3" s="179" customFormat="1" ht="11.25">
      <c r="B181" s="180"/>
      <c r="C181" s="180"/>
    </row>
    <row r="182" spans="2:3" s="179" customFormat="1" ht="11.25">
      <c r="B182" s="180"/>
      <c r="C182" s="180"/>
    </row>
    <row r="183" spans="2:3" s="179" customFormat="1" ht="11.25">
      <c r="B183" s="180"/>
      <c r="C183" s="180"/>
    </row>
    <row r="184" spans="2:3" s="179" customFormat="1" ht="11.25">
      <c r="B184" s="180"/>
      <c r="C184" s="180"/>
    </row>
    <row r="185" spans="2:3" s="179" customFormat="1" ht="11.25">
      <c r="B185" s="180"/>
      <c r="C185" s="180"/>
    </row>
    <row r="186" spans="2:3" s="179" customFormat="1" ht="11.25">
      <c r="B186" s="180"/>
      <c r="C186" s="180"/>
    </row>
    <row r="187" spans="2:3" s="179" customFormat="1" ht="11.25">
      <c r="B187" s="180"/>
      <c r="C187" s="180"/>
    </row>
    <row r="188" spans="2:3" s="179" customFormat="1" ht="11.25">
      <c r="B188" s="180"/>
      <c r="C188" s="180"/>
    </row>
    <row r="189" spans="2:3" s="179" customFormat="1" ht="11.25">
      <c r="B189" s="180"/>
      <c r="C189" s="180"/>
    </row>
    <row r="190" spans="2:3" s="179" customFormat="1" ht="11.25">
      <c r="B190" s="180"/>
      <c r="C190" s="180"/>
    </row>
    <row r="191" spans="2:3" s="179" customFormat="1" ht="11.25">
      <c r="B191" s="180"/>
      <c r="C191" s="180"/>
    </row>
    <row r="192" spans="2:3" s="179" customFormat="1" ht="11.25">
      <c r="B192" s="180"/>
      <c r="C192" s="180"/>
    </row>
    <row r="193" spans="2:3" s="179" customFormat="1" ht="11.25">
      <c r="B193" s="180"/>
      <c r="C193" s="180"/>
    </row>
    <row r="194" spans="2:3" s="179" customFormat="1" ht="11.25">
      <c r="B194" s="180"/>
      <c r="C194" s="180"/>
    </row>
    <row r="195" spans="2:3" s="179" customFormat="1" ht="11.25">
      <c r="B195" s="180"/>
      <c r="C195" s="180"/>
    </row>
    <row r="196" spans="2:3" s="179" customFormat="1" ht="11.25">
      <c r="B196" s="180"/>
      <c r="C196" s="180"/>
    </row>
    <row r="197" spans="2:3" s="179" customFormat="1" ht="11.25">
      <c r="B197" s="180"/>
      <c r="C197" s="180"/>
    </row>
    <row r="198" spans="2:3" s="179" customFormat="1" ht="11.25">
      <c r="B198" s="180"/>
      <c r="C198" s="180"/>
    </row>
    <row r="199" spans="2:3" s="179" customFormat="1" ht="11.25">
      <c r="B199" s="180"/>
      <c r="C199" s="180"/>
    </row>
    <row r="200" spans="2:3" s="179" customFormat="1" ht="11.25">
      <c r="B200" s="180"/>
      <c r="C200" s="180"/>
    </row>
    <row r="201" spans="2:3" s="179" customFormat="1" ht="11.25">
      <c r="B201" s="180"/>
      <c r="C201" s="180"/>
    </row>
    <row r="202" spans="2:3" s="179" customFormat="1" ht="11.25">
      <c r="B202" s="180"/>
      <c r="C202" s="180"/>
    </row>
    <row r="203" spans="2:3" s="179" customFormat="1" ht="11.25">
      <c r="B203" s="180"/>
      <c r="C203" s="180"/>
    </row>
    <row r="204" spans="2:3" s="179" customFormat="1" ht="11.25">
      <c r="B204" s="180"/>
      <c r="C204" s="180"/>
    </row>
    <row r="205" spans="2:3" s="179" customFormat="1" ht="11.25">
      <c r="B205" s="180"/>
      <c r="C205" s="180"/>
    </row>
    <row r="206" spans="2:3" s="179" customFormat="1" ht="11.25">
      <c r="B206" s="180"/>
      <c r="C206" s="180"/>
    </row>
    <row r="207" spans="2:3" s="179" customFormat="1" ht="11.25">
      <c r="B207" s="180"/>
      <c r="C207" s="180"/>
    </row>
    <row r="208" spans="2:3" s="179" customFormat="1" ht="11.25">
      <c r="B208" s="180"/>
      <c r="C208" s="180"/>
    </row>
    <row r="209" spans="2:3" s="179" customFormat="1" ht="11.25">
      <c r="B209" s="180"/>
      <c r="C209" s="180"/>
    </row>
    <row r="210" spans="2:3" s="179" customFormat="1" ht="11.25">
      <c r="B210" s="180"/>
      <c r="C210" s="180"/>
    </row>
    <row r="211" spans="2:3" s="179" customFormat="1" ht="11.25">
      <c r="B211" s="180"/>
      <c r="C211" s="180"/>
    </row>
    <row r="212" spans="2:3" s="179" customFormat="1" ht="11.25">
      <c r="B212" s="180"/>
      <c r="C212" s="180"/>
    </row>
    <row r="213" spans="2:3" s="179" customFormat="1" ht="11.25">
      <c r="B213" s="180"/>
      <c r="C213" s="180"/>
    </row>
    <row r="214" spans="2:3" s="179" customFormat="1" ht="11.25">
      <c r="B214" s="180"/>
      <c r="C214" s="180"/>
    </row>
    <row r="215" spans="2:3" s="179" customFormat="1" ht="11.25">
      <c r="B215" s="180"/>
      <c r="C215" s="180"/>
    </row>
    <row r="216" spans="2:3" s="179" customFormat="1" ht="11.25">
      <c r="B216" s="180"/>
      <c r="C216" s="180"/>
    </row>
    <row r="217" spans="2:3" s="179" customFormat="1" ht="11.25">
      <c r="B217" s="180"/>
      <c r="C217" s="180"/>
    </row>
    <row r="218" spans="2:3" s="179" customFormat="1" ht="11.25">
      <c r="B218" s="180"/>
      <c r="C218" s="180"/>
    </row>
    <row r="219" spans="2:3" s="179" customFormat="1" ht="11.25">
      <c r="B219" s="180"/>
      <c r="C219" s="180"/>
    </row>
    <row r="220" spans="2:3" s="179" customFormat="1" ht="11.25">
      <c r="B220" s="180"/>
      <c r="C220" s="180"/>
    </row>
    <row r="221" spans="2:3" s="179" customFormat="1" ht="11.25">
      <c r="B221" s="180"/>
      <c r="C221" s="180"/>
    </row>
    <row r="222" spans="2:3" s="179" customFormat="1" ht="11.25">
      <c r="B222" s="180"/>
      <c r="C222" s="180"/>
    </row>
    <row r="223" spans="2:3" s="179" customFormat="1" ht="11.25">
      <c r="B223" s="180"/>
      <c r="C223" s="180"/>
    </row>
    <row r="224" spans="2:3" s="179" customFormat="1" ht="11.25">
      <c r="B224" s="180"/>
      <c r="C224" s="180"/>
    </row>
    <row r="225" spans="2:3" s="179" customFormat="1" ht="11.25">
      <c r="B225" s="180"/>
      <c r="C225" s="180"/>
    </row>
    <row r="226" spans="2:3" s="179" customFormat="1" ht="11.25">
      <c r="B226" s="180"/>
      <c r="C226" s="180"/>
    </row>
    <row r="227" spans="2:3" s="179" customFormat="1" ht="11.25">
      <c r="B227" s="180"/>
      <c r="C227" s="180"/>
    </row>
    <row r="228" spans="2:3" s="179" customFormat="1" ht="11.25">
      <c r="B228" s="180"/>
      <c r="C228" s="180"/>
    </row>
    <row r="229" spans="2:3" s="179" customFormat="1" ht="11.25">
      <c r="B229" s="180"/>
      <c r="C229" s="180"/>
    </row>
    <row r="230" spans="2:3" s="179" customFormat="1" ht="11.25">
      <c r="B230" s="180"/>
      <c r="C230" s="180"/>
    </row>
    <row r="231" spans="2:3" s="179" customFormat="1" ht="11.25">
      <c r="B231" s="180"/>
      <c r="C231" s="180"/>
    </row>
    <row r="232" spans="2:3" s="179" customFormat="1" ht="11.25">
      <c r="B232" s="180"/>
      <c r="C232" s="180"/>
    </row>
    <row r="233" spans="2:3" s="179" customFormat="1" ht="11.25">
      <c r="B233" s="180"/>
      <c r="C233" s="180"/>
    </row>
    <row r="234" spans="2:3" s="179" customFormat="1" ht="11.25">
      <c r="B234" s="180"/>
      <c r="C234" s="180"/>
    </row>
    <row r="235" spans="2:3" s="179" customFormat="1" ht="11.25">
      <c r="B235" s="180"/>
      <c r="C235" s="180"/>
    </row>
    <row r="236" spans="2:3" s="179" customFormat="1" ht="11.25">
      <c r="B236" s="180"/>
      <c r="C236" s="180"/>
    </row>
    <row r="237" spans="2:3" s="179" customFormat="1" ht="11.25">
      <c r="B237" s="180"/>
      <c r="C237" s="180"/>
    </row>
    <row r="238" spans="2:3" s="179" customFormat="1" ht="11.25">
      <c r="B238" s="180"/>
      <c r="C238" s="180"/>
    </row>
    <row r="239" spans="2:3" s="179" customFormat="1" ht="11.25">
      <c r="B239" s="180"/>
      <c r="C239" s="180"/>
    </row>
    <row r="240" spans="2:3" s="179" customFormat="1" ht="11.25">
      <c r="B240" s="180"/>
      <c r="C240" s="180"/>
    </row>
    <row r="241" spans="2:3" s="179" customFormat="1" ht="11.25">
      <c r="B241" s="180"/>
      <c r="C241" s="180"/>
    </row>
    <row r="242" spans="2:3" s="179" customFormat="1" ht="11.25">
      <c r="B242" s="180"/>
      <c r="C242" s="180"/>
    </row>
    <row r="243" spans="2:3" s="179" customFormat="1" ht="11.25">
      <c r="B243" s="180"/>
      <c r="C243" s="180"/>
    </row>
    <row r="244" spans="2:3" s="179" customFormat="1" ht="11.25">
      <c r="B244" s="180"/>
      <c r="C244" s="180"/>
    </row>
    <row r="245" spans="2:3" s="179" customFormat="1" ht="11.25">
      <c r="B245" s="180"/>
      <c r="C245" s="180"/>
    </row>
    <row r="246" spans="2:3" s="179" customFormat="1" ht="11.25">
      <c r="B246" s="180"/>
      <c r="C246" s="180"/>
    </row>
    <row r="247" spans="2:3" s="179" customFormat="1" ht="11.25">
      <c r="B247" s="180"/>
      <c r="C247" s="180"/>
    </row>
    <row r="248" spans="2:3" s="179" customFormat="1" ht="11.25">
      <c r="B248" s="180"/>
      <c r="C248" s="180"/>
    </row>
    <row r="249" spans="2:3" s="179" customFormat="1" ht="11.25">
      <c r="B249" s="180"/>
      <c r="C249" s="180"/>
    </row>
    <row r="250" spans="2:3" s="179" customFormat="1" ht="11.25">
      <c r="B250" s="180"/>
      <c r="C250" s="180"/>
    </row>
    <row r="251" spans="2:3" s="179" customFormat="1" ht="11.25">
      <c r="B251" s="180"/>
      <c r="C251" s="180"/>
    </row>
    <row r="252" spans="2:3" s="179" customFormat="1" ht="11.25">
      <c r="B252" s="180"/>
      <c r="C252" s="180"/>
    </row>
    <row r="253" spans="2:3" s="179" customFormat="1" ht="11.25">
      <c r="B253" s="180"/>
      <c r="C253" s="180"/>
    </row>
    <row r="254" spans="2:3" s="179" customFormat="1" ht="11.25">
      <c r="B254" s="180"/>
      <c r="C254" s="180"/>
    </row>
    <row r="255" spans="2:3" s="179" customFormat="1" ht="11.25">
      <c r="B255" s="180"/>
      <c r="C255" s="180"/>
    </row>
    <row r="256" spans="2:3" s="179" customFormat="1" ht="11.25">
      <c r="B256" s="180"/>
      <c r="C256" s="180"/>
    </row>
    <row r="257" spans="2:3" s="179" customFormat="1" ht="11.25">
      <c r="B257" s="180"/>
      <c r="C257" s="180"/>
    </row>
    <row r="258" spans="2:3" s="179" customFormat="1" ht="11.25">
      <c r="B258" s="180"/>
      <c r="C258" s="180"/>
    </row>
    <row r="259" spans="2:3" s="179" customFormat="1" ht="11.25">
      <c r="B259" s="180"/>
      <c r="C259" s="180"/>
    </row>
    <row r="260" spans="2:3" s="179" customFormat="1" ht="11.25">
      <c r="B260" s="180"/>
      <c r="C260" s="180"/>
    </row>
    <row r="261" spans="2:3" s="179" customFormat="1" ht="11.25">
      <c r="B261" s="180"/>
      <c r="C261" s="180"/>
    </row>
    <row r="262" spans="2:3" s="179" customFormat="1" ht="11.25">
      <c r="B262" s="180"/>
      <c r="C262" s="180"/>
    </row>
    <row r="263" spans="2:3" s="179" customFormat="1" ht="11.25">
      <c r="B263" s="180"/>
      <c r="C263" s="180"/>
    </row>
    <row r="264" spans="2:3" s="179" customFormat="1" ht="11.25">
      <c r="B264" s="180"/>
      <c r="C264" s="180"/>
    </row>
    <row r="265" spans="2:3" s="179" customFormat="1" ht="11.25">
      <c r="B265" s="180"/>
      <c r="C265" s="180"/>
    </row>
    <row r="266" spans="2:3" s="179" customFormat="1" ht="11.25">
      <c r="B266" s="180"/>
      <c r="C266" s="180"/>
    </row>
    <row r="267" spans="2:3" s="179" customFormat="1" ht="11.25">
      <c r="B267" s="180"/>
      <c r="C267" s="180"/>
    </row>
    <row r="268" spans="2:3" s="179" customFormat="1" ht="11.25">
      <c r="B268" s="180"/>
      <c r="C268" s="180"/>
    </row>
    <row r="269" spans="2:3" s="179" customFormat="1" ht="11.25">
      <c r="B269" s="180"/>
      <c r="C269" s="180"/>
    </row>
    <row r="270" spans="2:3" s="179" customFormat="1" ht="11.25">
      <c r="B270" s="180"/>
      <c r="C270" s="180"/>
    </row>
    <row r="271" spans="2:3" s="179" customFormat="1" ht="11.25">
      <c r="B271" s="180"/>
      <c r="C271" s="180"/>
    </row>
    <row r="272" spans="2:3" s="179" customFormat="1" ht="11.25">
      <c r="B272" s="180"/>
      <c r="C272" s="180"/>
    </row>
    <row r="273" spans="2:3" s="179" customFormat="1" ht="11.25">
      <c r="B273" s="180"/>
      <c r="C273" s="180"/>
    </row>
    <row r="274" spans="2:3" s="179" customFormat="1" ht="11.25">
      <c r="B274" s="180"/>
      <c r="C274" s="180"/>
    </row>
    <row r="275" spans="2:3" s="179" customFormat="1" ht="11.25">
      <c r="B275" s="180"/>
      <c r="C275" s="180"/>
    </row>
    <row r="276" spans="2:3" s="179" customFormat="1" ht="11.25">
      <c r="B276" s="180"/>
      <c r="C276" s="180"/>
    </row>
    <row r="277" spans="2:3" s="179" customFormat="1" ht="11.25">
      <c r="B277" s="180"/>
      <c r="C277" s="180"/>
    </row>
    <row r="278" spans="2:3" s="179" customFormat="1" ht="11.25">
      <c r="B278" s="180"/>
      <c r="C278" s="180"/>
    </row>
    <row r="279" spans="2:3" s="179" customFormat="1" ht="11.25">
      <c r="B279" s="180"/>
      <c r="C279" s="180"/>
    </row>
    <row r="280" spans="2:3" s="179" customFormat="1" ht="11.25">
      <c r="B280" s="180"/>
      <c r="C280" s="180"/>
    </row>
    <row r="281" spans="2:3" s="179" customFormat="1" ht="11.25">
      <c r="B281" s="180"/>
      <c r="C281" s="180"/>
    </row>
    <row r="282" spans="2:3" s="179" customFormat="1" ht="11.25">
      <c r="B282" s="180"/>
      <c r="C282" s="180"/>
    </row>
    <row r="283" spans="2:3" s="179" customFormat="1" ht="11.25">
      <c r="B283" s="180"/>
      <c r="C283" s="180"/>
    </row>
    <row r="284" spans="2:3" s="179" customFormat="1" ht="11.25">
      <c r="B284" s="180"/>
      <c r="C284" s="180"/>
    </row>
    <row r="285" spans="2:3" s="179" customFormat="1" ht="11.25">
      <c r="B285" s="180"/>
      <c r="C285" s="180"/>
    </row>
    <row r="286" spans="2:3" s="179" customFormat="1" ht="11.25">
      <c r="B286" s="180"/>
      <c r="C286" s="180"/>
    </row>
    <row r="287" spans="2:3" s="179" customFormat="1" ht="11.25">
      <c r="B287" s="180"/>
      <c r="C287" s="180"/>
    </row>
    <row r="288" spans="2:3" s="179" customFormat="1" ht="11.25">
      <c r="B288" s="180"/>
      <c r="C288" s="180"/>
    </row>
    <row r="289" spans="2:3" s="179" customFormat="1" ht="11.25">
      <c r="B289" s="180"/>
      <c r="C289" s="180"/>
    </row>
    <row r="290" spans="2:3" s="179" customFormat="1" ht="11.25">
      <c r="B290" s="180"/>
      <c r="C290" s="180"/>
    </row>
    <row r="291" spans="2:3" s="179" customFormat="1" ht="11.25">
      <c r="B291" s="180"/>
      <c r="C291" s="180"/>
    </row>
    <row r="292" spans="2:3" s="179" customFormat="1" ht="11.25">
      <c r="B292" s="180"/>
      <c r="C292" s="180"/>
    </row>
    <row r="293" spans="2:3" s="179" customFormat="1" ht="11.25">
      <c r="B293" s="180"/>
      <c r="C293" s="180"/>
    </row>
    <row r="294" spans="2:3" s="179" customFormat="1" ht="11.25">
      <c r="B294" s="180"/>
      <c r="C294" s="180"/>
    </row>
    <row r="295" spans="2:3" s="179" customFormat="1" ht="11.25">
      <c r="B295" s="180"/>
      <c r="C295" s="180"/>
    </row>
    <row r="296" spans="2:3" s="179" customFormat="1" ht="11.25">
      <c r="B296" s="180"/>
      <c r="C296" s="180"/>
    </row>
    <row r="297" spans="2:3" s="179" customFormat="1" ht="11.25">
      <c r="B297" s="180"/>
      <c r="C297" s="180"/>
    </row>
    <row r="298" spans="2:3" s="179" customFormat="1" ht="11.25">
      <c r="B298" s="180"/>
      <c r="C298" s="180"/>
    </row>
    <row r="299" spans="2:3" s="179" customFormat="1" ht="11.25">
      <c r="B299" s="180"/>
      <c r="C299" s="180"/>
    </row>
    <row r="300" spans="2:3" s="179" customFormat="1" ht="11.25">
      <c r="B300" s="180"/>
      <c r="C300" s="180"/>
    </row>
    <row r="301" spans="2:3" s="179" customFormat="1" ht="11.25">
      <c r="B301" s="180"/>
      <c r="C301" s="180"/>
    </row>
  </sheetData>
  <sheetProtection formatColumns="0" formatRows="0"/>
  <mergeCells count="4">
    <mergeCell ref="A2:I2"/>
    <mergeCell ref="B49:B54"/>
    <mergeCell ref="B55:B60"/>
    <mergeCell ref="B61:B66"/>
  </mergeCells>
  <dataValidations count="1">
    <dataValidation type="decimal" allowBlank="1" showInputMessage="1" showErrorMessage="1" error="Ввведеное значение неверно" sqref="E41:I41 E43:I43 E34:I34 E36:I36">
      <formula1>-1000000000000000</formula1>
      <formula2>1000000000000000</formula2>
    </dataValidation>
  </dataValidations>
  <printOptions/>
  <pageMargins left="0.6299212598425197" right="0.1968503937007874" top="0.31496062992125984" bottom="0.35433070866141736" header="0.2362204724409449" footer="0.2362204724409449"/>
  <pageSetup fitToHeight="1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41"/>
  <sheetViews>
    <sheetView zoomScale="90" zoomScaleNormal="90" zoomScalePageLayoutView="0" workbookViewId="0" topLeftCell="A1">
      <selection activeCell="B7" sqref="B7:G7"/>
    </sheetView>
  </sheetViews>
  <sheetFormatPr defaultColWidth="7.00390625" defaultRowHeight="11.25"/>
  <cols>
    <col min="1" max="1" width="24.7109375" style="0" customWidth="1"/>
    <col min="2" max="7" width="19.00390625" style="0" customWidth="1"/>
  </cols>
  <sheetData>
    <row r="1" ht="11.25">
      <c r="G1" s="2" t="s">
        <v>2</v>
      </c>
    </row>
    <row r="2" spans="1:7" ht="19.5">
      <c r="A2" s="13" t="s">
        <v>906</v>
      </c>
      <c r="B2" s="3"/>
      <c r="C2" s="3"/>
      <c r="D2" s="3"/>
      <c r="E2" s="3"/>
      <c r="F2" s="3"/>
      <c r="G2" s="3"/>
    </row>
    <row r="3" spans="1:7" ht="11.25">
      <c r="A3" s="10"/>
      <c r="B3" s="10"/>
      <c r="C3" s="10"/>
      <c r="D3" s="10"/>
      <c r="E3" s="10"/>
      <c r="F3" s="10"/>
      <c r="G3" s="10"/>
    </row>
    <row r="4" spans="1:7" ht="11.25">
      <c r="A4" s="11"/>
      <c r="B4" s="3"/>
      <c r="C4" s="3"/>
      <c r="D4" s="3"/>
      <c r="E4" s="3"/>
      <c r="F4" s="3"/>
      <c r="G4" s="3"/>
    </row>
    <row r="5" spans="1:7" s="1" customFormat="1" ht="12" thickBot="1">
      <c r="A5" s="7"/>
      <c r="B5" s="7"/>
      <c r="C5" s="7"/>
      <c r="D5" s="7"/>
      <c r="E5" s="7"/>
      <c r="F5" s="7"/>
      <c r="G5" s="7"/>
    </row>
    <row r="6" spans="1:7" ht="23.25" customHeight="1">
      <c r="A6" s="18" t="s">
        <v>3</v>
      </c>
      <c r="B6" s="723" t="s">
        <v>904</v>
      </c>
      <c r="C6" s="723"/>
      <c r="D6" s="723"/>
      <c r="E6" s="723"/>
      <c r="F6" s="723"/>
      <c r="G6" s="724"/>
    </row>
    <row r="7" spans="1:7" ht="23.25" customHeight="1" thickBot="1">
      <c r="A7" s="19" t="s">
        <v>4</v>
      </c>
      <c r="B7" s="721" t="s">
        <v>905</v>
      </c>
      <c r="C7" s="721"/>
      <c r="D7" s="721"/>
      <c r="E7" s="721"/>
      <c r="F7" s="721"/>
      <c r="G7" s="722"/>
    </row>
    <row r="8" spans="1:7" s="1" customFormat="1" ht="11.25">
      <c r="A8" s="20"/>
      <c r="B8" s="20"/>
      <c r="C8" s="20"/>
      <c r="D8" s="20"/>
      <c r="E8" s="20"/>
      <c r="F8" s="20"/>
      <c r="G8" s="20"/>
    </row>
    <row r="9" spans="1:7" ht="12" thickBot="1">
      <c r="A9" s="718" t="s">
        <v>5</v>
      </c>
      <c r="B9" s="719"/>
      <c r="C9" s="719"/>
      <c r="D9" s="719"/>
      <c r="E9" s="719"/>
      <c r="F9" s="719"/>
      <c r="G9" s="720"/>
    </row>
    <row r="10" spans="1:7" ht="45">
      <c r="A10" s="21" t="s">
        <v>6</v>
      </c>
      <c r="B10" s="22" t="s">
        <v>15</v>
      </c>
      <c r="C10" s="22" t="s">
        <v>7</v>
      </c>
      <c r="D10" s="22" t="s">
        <v>8</v>
      </c>
      <c r="E10" s="22" t="s">
        <v>9</v>
      </c>
      <c r="F10" s="22" t="s">
        <v>10</v>
      </c>
      <c r="G10" s="23" t="s">
        <v>11</v>
      </c>
    </row>
    <row r="11" spans="1:7" ht="11.25">
      <c r="A11" s="24">
        <v>1</v>
      </c>
      <c r="B11" s="25">
        <v>2</v>
      </c>
      <c r="C11" s="25">
        <v>3</v>
      </c>
      <c r="D11" s="25">
        <v>4</v>
      </c>
      <c r="E11" s="25">
        <v>5</v>
      </c>
      <c r="F11" s="25">
        <v>6</v>
      </c>
      <c r="G11" s="26">
        <v>7</v>
      </c>
    </row>
    <row r="12" spans="1:7" ht="12" thickBot="1">
      <c r="A12" s="19" t="s">
        <v>21</v>
      </c>
      <c r="B12" s="27" t="s">
        <v>22</v>
      </c>
      <c r="C12" s="27" t="s">
        <v>19</v>
      </c>
      <c r="D12" s="27" t="s">
        <v>16</v>
      </c>
      <c r="E12" s="27" t="s">
        <v>18</v>
      </c>
      <c r="F12" s="27" t="s">
        <v>20</v>
      </c>
      <c r="G12" s="28" t="s">
        <v>17</v>
      </c>
    </row>
    <row r="13" spans="1:7" ht="12" thickBot="1">
      <c r="A13" s="29"/>
      <c r="B13" s="29"/>
      <c r="C13" s="29"/>
      <c r="D13" s="29"/>
      <c r="E13" s="29"/>
      <c r="F13" s="29"/>
      <c r="G13" s="29"/>
    </row>
    <row r="14" spans="1:7" ht="11.25">
      <c r="A14" s="18" t="s">
        <v>0</v>
      </c>
      <c r="B14" s="30">
        <v>2008</v>
      </c>
      <c r="C14" s="29"/>
      <c r="D14" s="29"/>
      <c r="E14" s="29"/>
      <c r="F14" s="29"/>
      <c r="G14" s="29"/>
    </row>
    <row r="15" spans="1:7" ht="11.25">
      <c r="A15" s="31" t="s">
        <v>1</v>
      </c>
      <c r="B15" s="32">
        <f>B14-1</f>
        <v>2007</v>
      </c>
      <c r="C15" s="29"/>
      <c r="D15" s="29"/>
      <c r="E15" s="29"/>
      <c r="F15" s="29"/>
      <c r="G15" s="29"/>
    </row>
    <row r="16" spans="1:7" ht="12" thickBot="1">
      <c r="A16" s="19" t="s">
        <v>12</v>
      </c>
      <c r="B16" s="33">
        <f>БазовыйПериод-1</f>
        <v>2006</v>
      </c>
      <c r="C16" s="29"/>
      <c r="D16" s="29"/>
      <c r="E16" s="29"/>
      <c r="F16" s="29"/>
      <c r="G16" s="29"/>
    </row>
    <row r="18" ht="11.25">
      <c r="B18" s="17"/>
    </row>
    <row r="23" spans="1:6" ht="11.25">
      <c r="A23" s="1"/>
      <c r="B23" s="1"/>
      <c r="C23" s="1"/>
      <c r="D23" s="1"/>
      <c r="E23" s="1"/>
      <c r="F23" s="1"/>
    </row>
    <row r="24" spans="1:6" ht="11.25">
      <c r="A24" s="1"/>
      <c r="B24" s="1"/>
      <c r="C24" s="1"/>
      <c r="D24" s="1"/>
      <c r="E24" s="1"/>
      <c r="F24" s="1"/>
    </row>
    <row r="25" spans="1:6" ht="11.25">
      <c r="A25" s="1"/>
      <c r="B25" s="1"/>
      <c r="C25" s="1"/>
      <c r="D25" s="1"/>
      <c r="E25" s="1"/>
      <c r="F25" s="1"/>
    </row>
    <row r="26" spans="1:6" ht="11.25">
      <c r="A26" s="1"/>
      <c r="B26" s="1"/>
      <c r="C26" s="1"/>
      <c r="D26" s="1"/>
      <c r="E26" s="1"/>
      <c r="F26" s="1"/>
    </row>
    <row r="27" spans="1:6" ht="11.25">
      <c r="A27" s="1"/>
      <c r="B27" s="1"/>
      <c r="C27" s="1"/>
      <c r="D27" s="1"/>
      <c r="E27" s="1"/>
      <c r="F27" s="1"/>
    </row>
    <row r="28" spans="1:6" ht="11.25">
      <c r="A28" s="1"/>
      <c r="B28" s="1"/>
      <c r="C28" s="1"/>
      <c r="D28" s="1"/>
      <c r="E28" s="1"/>
      <c r="F28" s="1"/>
    </row>
    <row r="29" spans="1:6" ht="11.25">
      <c r="A29" s="1"/>
      <c r="B29" s="1"/>
      <c r="C29" s="1"/>
      <c r="D29" s="1"/>
      <c r="E29" s="1"/>
      <c r="F29" s="1"/>
    </row>
    <row r="30" spans="1:6" ht="11.25">
      <c r="A30" s="1"/>
      <c r="B30" s="1"/>
      <c r="C30" s="1"/>
      <c r="D30" s="1"/>
      <c r="E30" s="1"/>
      <c r="F30" s="1"/>
    </row>
    <row r="31" spans="1:6" ht="11.25">
      <c r="A31" s="1"/>
      <c r="B31" s="1"/>
      <c r="C31" s="1"/>
      <c r="D31" s="1"/>
      <c r="E31" s="1"/>
      <c r="F31" s="1"/>
    </row>
    <row r="32" spans="1:6" ht="11.25">
      <c r="A32" s="1"/>
      <c r="B32" s="1"/>
      <c r="C32" s="1"/>
      <c r="D32" s="1"/>
      <c r="E32" s="1"/>
      <c r="F32" s="1"/>
    </row>
    <row r="33" spans="1:6" ht="11.25">
      <c r="A33" s="1"/>
      <c r="B33" s="1"/>
      <c r="C33" s="1"/>
      <c r="D33" s="1"/>
      <c r="E33" s="1"/>
      <c r="F33" s="1"/>
    </row>
    <row r="34" spans="1:6" ht="11.25">
      <c r="A34" s="1"/>
      <c r="B34" s="1"/>
      <c r="C34" s="1"/>
      <c r="D34" s="1"/>
      <c r="E34" s="1"/>
      <c r="F34" s="1"/>
    </row>
    <row r="35" spans="1:6" ht="11.25">
      <c r="A35" s="1"/>
      <c r="B35" s="1"/>
      <c r="C35" s="1"/>
      <c r="D35" s="1"/>
      <c r="E35" s="1"/>
      <c r="F35" s="1"/>
    </row>
    <row r="36" spans="1:6" ht="11.25">
      <c r="A36" s="1"/>
      <c r="B36" s="1"/>
      <c r="C36" s="1"/>
      <c r="D36" s="1"/>
      <c r="E36" s="1"/>
      <c r="F36" s="1"/>
    </row>
    <row r="37" spans="1:6" ht="11.25">
      <c r="A37" s="1"/>
      <c r="B37" s="1"/>
      <c r="C37" s="1"/>
      <c r="D37" s="1"/>
      <c r="E37" s="1"/>
      <c r="F37" s="1"/>
    </row>
    <row r="38" spans="1:6" ht="11.25">
      <c r="A38" s="1"/>
      <c r="B38" s="1"/>
      <c r="C38" s="1"/>
      <c r="D38" s="1"/>
      <c r="E38" s="1"/>
      <c r="F38" s="1"/>
    </row>
    <row r="39" spans="1:6" ht="11.25">
      <c r="A39" s="1"/>
      <c r="B39" s="1"/>
      <c r="C39" s="1"/>
      <c r="D39" s="1"/>
      <c r="E39" s="1"/>
      <c r="F39" s="1"/>
    </row>
    <row r="40" spans="1:6" ht="11.25">
      <c r="A40" s="1"/>
      <c r="B40" s="1"/>
      <c r="C40" s="1"/>
      <c r="D40" s="1"/>
      <c r="E40" s="1"/>
      <c r="F40" s="1"/>
    </row>
    <row r="41" spans="1:6" ht="11.25">
      <c r="A41" s="1"/>
      <c r="B41" s="1"/>
      <c r="C41" s="1"/>
      <c r="D41" s="1"/>
      <c r="E41" s="1"/>
      <c r="F41" s="1"/>
    </row>
  </sheetData>
  <sheetProtection password="E408" sheet="1" objects="1" scenarios="1" formatCells="0"/>
  <protectedRanges>
    <protectedRange sqref="A12:G12" name="Диапазон2"/>
    <protectedRange sqref="B6:G7" name="Диапазон1"/>
  </protectedRanges>
  <mergeCells count="3">
    <mergeCell ref="A9:G9"/>
    <mergeCell ref="B7:G7"/>
    <mergeCell ref="B6:G6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20"/>
  <dimension ref="A1:O382"/>
  <sheetViews>
    <sheetView zoomScale="75" zoomScaleNormal="75" zoomScalePageLayoutView="0" workbookViewId="0" topLeftCell="A2">
      <pane ySplit="6" topLeftCell="A8" activePane="bottomLeft" state="frozen"/>
      <selection pane="topLeft" activeCell="F41" sqref="F41"/>
      <selection pane="bottomLeft" activeCell="Q34" sqref="Q34"/>
    </sheetView>
  </sheetViews>
  <sheetFormatPr defaultColWidth="9.140625" defaultRowHeight="11.25"/>
  <cols>
    <col min="1" max="1" width="6.28125" style="149" customWidth="1"/>
    <col min="2" max="2" width="40.7109375" style="169" customWidth="1"/>
    <col min="3" max="3" width="0" style="169" hidden="1" customWidth="1"/>
    <col min="4" max="4" width="13.00390625" style="149" customWidth="1"/>
    <col min="5" max="5" width="13.57421875" style="149" customWidth="1"/>
    <col min="6" max="6" width="13.7109375" style="149" customWidth="1"/>
    <col min="7" max="7" width="13.8515625" style="149" customWidth="1"/>
    <col min="8" max="8" width="13.421875" style="149" customWidth="1"/>
    <col min="9" max="9" width="13.7109375" style="149" customWidth="1"/>
    <col min="10" max="10" width="0" style="149" hidden="1" customWidth="1"/>
    <col min="11" max="11" width="12.7109375" style="149" customWidth="1"/>
    <col min="12" max="16384" width="9.140625" style="149" customWidth="1"/>
  </cols>
  <sheetData>
    <row r="1" spans="1:9" ht="12.75" hidden="1">
      <c r="A1" s="34" t="str">
        <f>Справочники!E13</f>
        <v>Мурманская область</v>
      </c>
      <c r="B1" s="241" t="str">
        <f>Справочники!D21</f>
        <v>МУП "Кировская горэлектросеть"</v>
      </c>
      <c r="C1" s="170"/>
      <c r="D1" s="165"/>
      <c r="E1" s="165"/>
      <c r="F1" s="165"/>
      <c r="I1" s="184" t="s">
        <v>507</v>
      </c>
    </row>
    <row r="2" spans="1:9" ht="38.25" customHeight="1">
      <c r="A2" s="879" t="s">
        <v>508</v>
      </c>
      <c r="B2" s="879"/>
      <c r="C2" s="879"/>
      <c r="D2" s="879"/>
      <c r="E2" s="879"/>
      <c r="F2" s="879"/>
      <c r="G2" s="879"/>
      <c r="H2" s="879"/>
      <c r="I2" s="879"/>
    </row>
    <row r="3" spans="1:8" ht="12" thickBot="1">
      <c r="A3" s="165"/>
      <c r="B3" s="170"/>
      <c r="C3" s="170"/>
      <c r="D3" s="165"/>
      <c r="E3" s="165"/>
      <c r="F3" s="165"/>
      <c r="G3" s="165"/>
      <c r="H3" s="165"/>
    </row>
    <row r="4" spans="1:10" ht="34.5" customHeight="1">
      <c r="A4" s="35" t="s">
        <v>86</v>
      </c>
      <c r="B4" s="185" t="s">
        <v>509</v>
      </c>
      <c r="C4" s="185"/>
      <c r="D4" s="36" t="s">
        <v>423</v>
      </c>
      <c r="E4" s="171" t="s">
        <v>1287</v>
      </c>
      <c r="F4" s="171" t="s">
        <v>1304</v>
      </c>
      <c r="G4" s="171" t="s">
        <v>1334</v>
      </c>
      <c r="H4" s="171" t="s">
        <v>1305</v>
      </c>
      <c r="I4" s="171" t="s">
        <v>1308</v>
      </c>
      <c r="J4" s="239" t="s">
        <v>27</v>
      </c>
    </row>
    <row r="5" spans="1:10" ht="24" customHeight="1" hidden="1">
      <c r="A5" s="9"/>
      <c r="B5" s="162"/>
      <c r="C5" s="162"/>
      <c r="D5" s="4"/>
      <c r="E5" s="256" t="s">
        <v>82</v>
      </c>
      <c r="F5" s="257" t="s">
        <v>81</v>
      </c>
      <c r="G5" s="256" t="s">
        <v>82</v>
      </c>
      <c r="H5" s="257" t="s">
        <v>81</v>
      </c>
      <c r="I5" s="256" t="s">
        <v>82</v>
      </c>
      <c r="J5" s="258" t="s">
        <v>811</v>
      </c>
    </row>
    <row r="6" spans="1:10" ht="24" customHeight="1" hidden="1">
      <c r="A6" s="9"/>
      <c r="B6" s="162"/>
      <c r="C6" s="162"/>
      <c r="D6" s="4"/>
      <c r="E6" s="257">
        <v>2006</v>
      </c>
      <c r="F6" s="257">
        <v>2006</v>
      </c>
      <c r="G6" s="257">
        <v>2007</v>
      </c>
      <c r="H6" s="257">
        <v>2007</v>
      </c>
      <c r="I6" s="257">
        <v>2008</v>
      </c>
      <c r="J6" s="258"/>
    </row>
    <row r="7" spans="1:10" ht="11.25">
      <c r="A7" s="9">
        <v>1</v>
      </c>
      <c r="B7" s="162">
        <v>2</v>
      </c>
      <c r="C7" s="162"/>
      <c r="D7" s="4">
        <v>3</v>
      </c>
      <c r="E7" s="4">
        <v>4</v>
      </c>
      <c r="F7" s="4">
        <v>5</v>
      </c>
      <c r="G7" s="4">
        <v>6</v>
      </c>
      <c r="H7" s="4">
        <v>7</v>
      </c>
      <c r="I7" s="4">
        <v>8</v>
      </c>
      <c r="J7" s="242"/>
    </row>
    <row r="8" spans="1:10" ht="11.25">
      <c r="A8" s="144" t="s">
        <v>36</v>
      </c>
      <c r="B8" s="99" t="s">
        <v>510</v>
      </c>
      <c r="C8" s="99" t="s">
        <v>38</v>
      </c>
      <c r="D8" s="145" t="s">
        <v>511</v>
      </c>
      <c r="E8" s="390">
        <v>1231.75</v>
      </c>
      <c r="F8" s="390">
        <v>1330.823</v>
      </c>
      <c r="G8" s="390">
        <v>1665.44</v>
      </c>
      <c r="H8" s="390">
        <v>1665.44</v>
      </c>
      <c r="I8" s="390">
        <v>1748.937</v>
      </c>
      <c r="J8" s="248">
        <f aca="true" t="shared" si="0" ref="J8:J13">IF(ISERROR(I8/G8),0,I8/G8)</f>
        <v>1.0501350994331826</v>
      </c>
    </row>
    <row r="9" spans="1:10" ht="11.25">
      <c r="A9" s="144" t="s">
        <v>90</v>
      </c>
      <c r="B9" s="99" t="s">
        <v>512</v>
      </c>
      <c r="C9" s="99" t="s">
        <v>41</v>
      </c>
      <c r="D9" s="145" t="s">
        <v>511</v>
      </c>
      <c r="E9" s="390">
        <v>1231.75</v>
      </c>
      <c r="F9" s="390">
        <v>1330.823</v>
      </c>
      <c r="G9" s="390">
        <f>G8</f>
        <v>1665.44</v>
      </c>
      <c r="H9" s="390">
        <v>1665.44</v>
      </c>
      <c r="I9" s="390">
        <f>I8</f>
        <v>1748.937</v>
      </c>
      <c r="J9" s="248">
        <f t="shared" si="0"/>
        <v>1.0501350994331826</v>
      </c>
    </row>
    <row r="10" spans="1:10" ht="11.25">
      <c r="A10" s="144" t="s">
        <v>94</v>
      </c>
      <c r="B10" s="99" t="s">
        <v>513</v>
      </c>
      <c r="C10" s="99" t="s">
        <v>44</v>
      </c>
      <c r="D10" s="145" t="s">
        <v>511</v>
      </c>
      <c r="E10" s="390">
        <v>1231.75</v>
      </c>
      <c r="F10" s="390">
        <v>1330.823</v>
      </c>
      <c r="G10" s="390">
        <f>G8</f>
        <v>1665.44</v>
      </c>
      <c r="H10" s="390">
        <v>1665.44</v>
      </c>
      <c r="I10" s="390">
        <f>I8</f>
        <v>1748.937</v>
      </c>
      <c r="J10" s="248">
        <f t="shared" si="0"/>
        <v>1.0501350994331826</v>
      </c>
    </row>
    <row r="11" spans="1:10" ht="24" customHeight="1">
      <c r="A11" s="144" t="s">
        <v>69</v>
      </c>
      <c r="B11" s="99" t="s">
        <v>514</v>
      </c>
      <c r="C11" s="99" t="s">
        <v>71</v>
      </c>
      <c r="D11" s="145" t="s">
        <v>515</v>
      </c>
      <c r="E11" s="146"/>
      <c r="F11" s="146"/>
      <c r="G11" s="146"/>
      <c r="H11" s="146"/>
      <c r="I11" s="146"/>
      <c r="J11" s="248">
        <f t="shared" si="0"/>
        <v>0</v>
      </c>
    </row>
    <row r="12" spans="1:10" ht="11.25">
      <c r="A12" s="144" t="s">
        <v>314</v>
      </c>
      <c r="B12" s="99" t="s">
        <v>28</v>
      </c>
      <c r="C12" s="99" t="s">
        <v>74</v>
      </c>
      <c r="D12" s="145" t="s">
        <v>515</v>
      </c>
      <c r="E12" s="55">
        <f>4!F11</f>
        <v>62.37</v>
      </c>
      <c r="F12" s="55">
        <f>4!K11</f>
        <v>59.982462</v>
      </c>
      <c r="G12" s="55">
        <f>4!P11</f>
        <v>62.84</v>
      </c>
      <c r="H12" s="55">
        <f>4!U11</f>
        <v>62.84</v>
      </c>
      <c r="I12" s="55">
        <f>4!AJ11</f>
        <v>79.44</v>
      </c>
      <c r="J12" s="248">
        <f t="shared" si="0"/>
        <v>1.2641629535327816</v>
      </c>
    </row>
    <row r="13" spans="1:10" ht="11.25">
      <c r="A13" s="144" t="s">
        <v>316</v>
      </c>
      <c r="B13" s="99" t="s">
        <v>425</v>
      </c>
      <c r="C13" s="99" t="s">
        <v>787</v>
      </c>
      <c r="D13" s="145" t="s">
        <v>515</v>
      </c>
      <c r="E13" s="55">
        <f>E15+E16</f>
        <v>91.5207</v>
      </c>
      <c r="F13" s="55">
        <f>F15+F16</f>
        <v>92.534139</v>
      </c>
      <c r="G13" s="55">
        <f>G15+G16</f>
        <v>94.4</v>
      </c>
      <c r="H13" s="55">
        <f>H15+H16</f>
        <v>94.4</v>
      </c>
      <c r="I13" s="55">
        <f>I15+I16</f>
        <v>95.372595</v>
      </c>
      <c r="J13" s="248">
        <f t="shared" si="0"/>
        <v>1.0103029131355932</v>
      </c>
    </row>
    <row r="14" spans="1:10" ht="11.25">
      <c r="A14" s="144"/>
      <c r="B14" s="99" t="s">
        <v>516</v>
      </c>
      <c r="C14" s="99"/>
      <c r="D14" s="145"/>
      <c r="E14" s="146"/>
      <c r="F14" s="146"/>
      <c r="G14" s="146"/>
      <c r="H14" s="146"/>
      <c r="I14" s="146"/>
      <c r="J14" s="247"/>
    </row>
    <row r="15" spans="1:10" ht="11.25">
      <c r="A15" s="144"/>
      <c r="B15" s="99" t="s">
        <v>29</v>
      </c>
      <c r="C15" s="99" t="s">
        <v>854</v>
      </c>
      <c r="D15" s="145" t="s">
        <v>515</v>
      </c>
      <c r="E15" s="172">
        <f>4!G11</f>
        <v>9.75</v>
      </c>
      <c r="F15" s="172">
        <f>4!L11</f>
        <v>9.508152</v>
      </c>
      <c r="G15" s="172">
        <f>4!Q11</f>
        <v>10.326</v>
      </c>
      <c r="H15" s="172">
        <f>4!V11</f>
        <v>10.326</v>
      </c>
      <c r="I15" s="55">
        <f>4!AK11</f>
        <v>6.92</v>
      </c>
      <c r="J15" s="248">
        <f>IF(ISERROR(I15/G15),0,I15/G15)</f>
        <v>0.6701530118148363</v>
      </c>
    </row>
    <row r="16" spans="1:10" ht="11.25">
      <c r="A16" s="144"/>
      <c r="B16" s="99" t="s">
        <v>30</v>
      </c>
      <c r="C16" s="99" t="s">
        <v>855</v>
      </c>
      <c r="D16" s="145" t="s">
        <v>515</v>
      </c>
      <c r="E16" s="172">
        <f>4!H11</f>
        <v>81.7707</v>
      </c>
      <c r="F16" s="172">
        <f>4!M11</f>
        <v>83.025987</v>
      </c>
      <c r="G16" s="172">
        <f>4!R11</f>
        <v>84.07400000000001</v>
      </c>
      <c r="H16" s="172">
        <f>4!W11</f>
        <v>84.07400000000001</v>
      </c>
      <c r="I16" s="55">
        <f>4!AL11</f>
        <v>88.452595</v>
      </c>
      <c r="J16" s="248">
        <f>IF(ISERROR(I16/G16),0,I16/G16)</f>
        <v>1.0520802507314984</v>
      </c>
    </row>
    <row r="17" spans="1:10" ht="11.25">
      <c r="A17" s="144" t="s">
        <v>318</v>
      </c>
      <c r="B17" s="99" t="s">
        <v>31</v>
      </c>
      <c r="C17" s="99" t="s">
        <v>788</v>
      </c>
      <c r="D17" s="145" t="s">
        <v>515</v>
      </c>
      <c r="E17" s="172">
        <f>4!I11</f>
        <v>56.8872</v>
      </c>
      <c r="F17" s="172">
        <f>4!N11</f>
        <v>57.351362</v>
      </c>
      <c r="G17" s="172">
        <f>4!S11</f>
        <v>58.643</v>
      </c>
      <c r="H17" s="172">
        <f>4!X11</f>
        <v>58.643</v>
      </c>
      <c r="I17" s="55">
        <f>4!AM11</f>
        <v>57.423114</v>
      </c>
      <c r="J17" s="248">
        <f>IF(ISERROR(I17/G17),0,I17/G17)</f>
        <v>0.9791980969595688</v>
      </c>
    </row>
    <row r="18" spans="1:10" ht="11.25">
      <c r="A18" s="144" t="s">
        <v>75</v>
      </c>
      <c r="B18" s="99" t="s">
        <v>517</v>
      </c>
      <c r="C18" s="99" t="s">
        <v>77</v>
      </c>
      <c r="D18" s="145"/>
      <c r="E18" s="146"/>
      <c r="F18" s="146"/>
      <c r="G18" s="146"/>
      <c r="H18" s="146"/>
      <c r="I18" s="146"/>
      <c r="J18" s="247"/>
    </row>
    <row r="19" spans="1:10" ht="11.25">
      <c r="A19" s="144" t="s">
        <v>518</v>
      </c>
      <c r="B19" s="99" t="s">
        <v>28</v>
      </c>
      <c r="C19" s="99" t="s">
        <v>825</v>
      </c>
      <c r="D19" s="145" t="s">
        <v>255</v>
      </c>
      <c r="E19" s="172">
        <f>4!F22</f>
        <v>0</v>
      </c>
      <c r="F19" s="172">
        <f>4!K22</f>
        <v>0</v>
      </c>
      <c r="G19" s="172">
        <f>4!P22</f>
        <v>0</v>
      </c>
      <c r="H19" s="172">
        <f>4!U22</f>
        <v>0</v>
      </c>
      <c r="I19" s="172">
        <f>4!AJ22</f>
        <v>0</v>
      </c>
      <c r="J19" s="248">
        <f>IF(ISERROR(I19/G19),0,I19/G19)</f>
        <v>0</v>
      </c>
    </row>
    <row r="20" spans="1:10" ht="11.25">
      <c r="A20" s="144" t="s">
        <v>519</v>
      </c>
      <c r="B20" s="99" t="s">
        <v>425</v>
      </c>
      <c r="C20" s="99" t="s">
        <v>826</v>
      </c>
      <c r="D20" s="145" t="s">
        <v>255</v>
      </c>
      <c r="E20" s="423"/>
      <c r="F20" s="423"/>
      <c r="G20" s="423"/>
      <c r="H20" s="423"/>
      <c r="I20" s="423"/>
      <c r="J20" s="248">
        <f>IF(ISERROR(I20/G20),0,I20/G20)</f>
        <v>0</v>
      </c>
    </row>
    <row r="21" spans="1:10" ht="11.25">
      <c r="A21" s="144"/>
      <c r="B21" s="99" t="s">
        <v>516</v>
      </c>
      <c r="C21" s="99"/>
      <c r="D21" s="145"/>
      <c r="E21" s="146"/>
      <c r="F21" s="146"/>
      <c r="G21" s="146"/>
      <c r="H21" s="146"/>
      <c r="I21" s="146"/>
      <c r="J21" s="247"/>
    </row>
    <row r="22" spans="1:10" ht="11.25">
      <c r="A22" s="144"/>
      <c r="B22" s="99" t="s">
        <v>29</v>
      </c>
      <c r="C22" s="99" t="s">
        <v>889</v>
      </c>
      <c r="D22" s="145" t="s">
        <v>255</v>
      </c>
      <c r="E22" s="172">
        <f>4!G22</f>
        <v>1.3230769230769233</v>
      </c>
      <c r="F22" s="172">
        <f>4!L22</f>
        <v>1.2891464082610373</v>
      </c>
      <c r="G22" s="172">
        <f>4!Q22</f>
        <v>1.222157660275034</v>
      </c>
      <c r="H22" s="172">
        <f>4!V22</f>
        <v>1.222157660275034</v>
      </c>
      <c r="I22" s="172">
        <f>4!AK22</f>
        <v>3.985621387283237</v>
      </c>
      <c r="J22" s="248">
        <f>IF(ISERROR(I22/G22),0,I22/G22)</f>
        <v>3.2611352175187562</v>
      </c>
    </row>
    <row r="23" spans="1:10" ht="11.25">
      <c r="A23" s="144"/>
      <c r="B23" s="99" t="s">
        <v>30</v>
      </c>
      <c r="C23" s="99" t="s">
        <v>890</v>
      </c>
      <c r="D23" s="145" t="s">
        <v>255</v>
      </c>
      <c r="E23" s="172">
        <f>4!H22</f>
        <v>3.8938152663484598</v>
      </c>
      <c r="F23" s="172">
        <f>4!M22</f>
        <v>3.7005907560002873</v>
      </c>
      <c r="G23" s="172">
        <f>4!R22</f>
        <v>3.3669148607179387</v>
      </c>
      <c r="H23" s="172">
        <f>4!W22</f>
        <v>3.3669148607179387</v>
      </c>
      <c r="I23" s="233">
        <f>4!AL22</f>
        <v>3.768663881483636</v>
      </c>
      <c r="J23" s="248">
        <f>IF(ISERROR(I23/G23),0,I23/G23)</f>
        <v>1.1193225957249275</v>
      </c>
    </row>
    <row r="24" spans="1:10" ht="11.25">
      <c r="A24" s="144" t="s">
        <v>520</v>
      </c>
      <c r="B24" s="99" t="s">
        <v>31</v>
      </c>
      <c r="C24" s="99" t="s">
        <v>827</v>
      </c>
      <c r="D24" s="145" t="s">
        <v>255</v>
      </c>
      <c r="E24" s="172">
        <f>4!I22</f>
        <v>10.63156562460448</v>
      </c>
      <c r="F24" s="172">
        <f>4!N22</f>
        <v>11.000718692609254</v>
      </c>
      <c r="G24" s="172">
        <f>4!S22</f>
        <v>11.182408812646011</v>
      </c>
      <c r="H24" s="172">
        <f>4!X22</f>
        <v>11.182408812646011</v>
      </c>
      <c r="I24" s="233">
        <f>4!AM22</f>
        <v>11.170275439956113</v>
      </c>
      <c r="J24" s="248">
        <f>IF(ISERROR(I24/G24),0,I24/G24)</f>
        <v>0.9989149589419252</v>
      </c>
    </row>
    <row r="25" spans="1:10" ht="11.25">
      <c r="A25" s="144" t="s">
        <v>78</v>
      </c>
      <c r="B25" s="99" t="s">
        <v>521</v>
      </c>
      <c r="C25" s="99" t="s">
        <v>80</v>
      </c>
      <c r="D25" s="145"/>
      <c r="E25" s="146"/>
      <c r="F25" s="146"/>
      <c r="G25" s="146"/>
      <c r="H25" s="146"/>
      <c r="I25" s="146"/>
      <c r="J25" s="247"/>
    </row>
    <row r="26" spans="1:10" ht="11.25">
      <c r="A26" s="144" t="s">
        <v>105</v>
      </c>
      <c r="B26" s="99" t="s">
        <v>28</v>
      </c>
      <c r="C26" s="99" t="s">
        <v>107</v>
      </c>
      <c r="D26" s="145" t="s">
        <v>515</v>
      </c>
      <c r="E26" s="172">
        <f>4!F25+4!F29</f>
        <v>0</v>
      </c>
      <c r="F26" s="172">
        <f>4!K25+4!K29</f>
        <v>0</v>
      </c>
      <c r="G26" s="172">
        <f>4!P25+4!P29</f>
        <v>0</v>
      </c>
      <c r="H26" s="172">
        <f>4!U25+4!U29</f>
        <v>0</v>
      </c>
      <c r="I26" s="172">
        <f>4!AJ25+4!AJ29</f>
        <v>0</v>
      </c>
      <c r="J26" s="248">
        <f>IF(ISERROR(I26/G26),0,I26/G26)</f>
        <v>0</v>
      </c>
    </row>
    <row r="27" spans="1:10" ht="11.25">
      <c r="A27" s="144" t="s">
        <v>113</v>
      </c>
      <c r="B27" s="99" t="s">
        <v>425</v>
      </c>
      <c r="C27" s="99" t="s">
        <v>115</v>
      </c>
      <c r="D27" s="145" t="s">
        <v>515</v>
      </c>
      <c r="E27" s="233">
        <f>E29+E30</f>
        <v>21</v>
      </c>
      <c r="F27" s="233">
        <f>F29+F30</f>
        <v>21.75339</v>
      </c>
      <c r="G27" s="233">
        <f>G29+G30</f>
        <v>21.9</v>
      </c>
      <c r="H27" s="233">
        <f>H29+H30</f>
        <v>21.9</v>
      </c>
      <c r="I27" s="233">
        <f>I29+I30</f>
        <v>26.8676</v>
      </c>
      <c r="J27" s="248">
        <f>IF(ISERROR(I27/G27),0,I27/G27)</f>
        <v>1.2268310502283106</v>
      </c>
    </row>
    <row r="28" spans="1:10" ht="11.25">
      <c r="A28" s="144"/>
      <c r="B28" s="99" t="s">
        <v>516</v>
      </c>
      <c r="C28" s="99"/>
      <c r="D28" s="145"/>
      <c r="E28" s="146"/>
      <c r="F28" s="146"/>
      <c r="G28" s="146"/>
      <c r="H28" s="146"/>
      <c r="I28" s="146"/>
      <c r="J28" s="247"/>
    </row>
    <row r="29" spans="1:10" ht="11.25">
      <c r="A29" s="144"/>
      <c r="B29" s="99" t="s">
        <v>29</v>
      </c>
      <c r="C29" s="99" t="s">
        <v>699</v>
      </c>
      <c r="D29" s="145" t="s">
        <v>515</v>
      </c>
      <c r="E29" s="172">
        <f>4!G25+4!G29</f>
        <v>0</v>
      </c>
      <c r="F29" s="172">
        <f>4!L25+4!L29</f>
        <v>0.0018</v>
      </c>
      <c r="G29" s="172">
        <f>4!Q25+4!Q29</f>
        <v>0</v>
      </c>
      <c r="H29" s="172">
        <f>4!V25+4!V29</f>
        <v>0</v>
      </c>
      <c r="I29" s="172">
        <f>4!AK25+4!AK29</f>
        <v>0.0216</v>
      </c>
      <c r="J29" s="248">
        <f>IF(ISERROR(I29/G29),0,I29/G29)</f>
        <v>0</v>
      </c>
    </row>
    <row r="30" spans="1:10" ht="11.25">
      <c r="A30" s="144"/>
      <c r="B30" s="99" t="s">
        <v>30</v>
      </c>
      <c r="C30" s="99" t="s">
        <v>700</v>
      </c>
      <c r="D30" s="145" t="s">
        <v>515</v>
      </c>
      <c r="E30" s="172">
        <f>4!H25+4!H29</f>
        <v>21</v>
      </c>
      <c r="F30" s="172">
        <f>4!M25+4!M29</f>
        <v>21.75159</v>
      </c>
      <c r="G30" s="172">
        <f>4!R25+4!R29</f>
        <v>21.9</v>
      </c>
      <c r="H30" s="172">
        <f>4!W25+4!W29</f>
        <v>21.9</v>
      </c>
      <c r="I30" s="172">
        <f>4!AL25+4!AL29</f>
        <v>26.846</v>
      </c>
      <c r="J30" s="248">
        <f>IF(ISERROR(I30/G30),0,I30/G30)</f>
        <v>1.2258447488584476</v>
      </c>
    </row>
    <row r="31" spans="1:10" ht="11.25">
      <c r="A31" s="144" t="s">
        <v>116</v>
      </c>
      <c r="B31" s="99" t="s">
        <v>31</v>
      </c>
      <c r="C31" s="99" t="s">
        <v>118</v>
      </c>
      <c r="D31" s="145" t="s">
        <v>515</v>
      </c>
      <c r="E31" s="172">
        <f>4!I25+4!I29</f>
        <v>50.8396</v>
      </c>
      <c r="F31" s="172">
        <f>4!N25+4!N29</f>
        <v>51.0423</v>
      </c>
      <c r="G31" s="172">
        <f>4!S25+4!S29</f>
        <v>52.085</v>
      </c>
      <c r="H31" s="172">
        <f>4!X25+4!X29</f>
        <v>52.085</v>
      </c>
      <c r="I31" s="172">
        <f>4!AM25+4!AM29</f>
        <v>51.008793999999995</v>
      </c>
      <c r="J31" s="248">
        <f>IF(ISERROR(I31/G31),0,I31/G31)</f>
        <v>0.9793375059998078</v>
      </c>
    </row>
    <row r="32" spans="1:10" ht="11.25">
      <c r="A32" s="144" t="s">
        <v>122</v>
      </c>
      <c r="B32" s="99" t="s">
        <v>522</v>
      </c>
      <c r="C32" s="99" t="s">
        <v>124</v>
      </c>
      <c r="D32" s="145"/>
      <c r="E32" s="901">
        <v>11530.42</v>
      </c>
      <c r="F32" s="901">
        <v>12648.227</v>
      </c>
      <c r="G32" s="901">
        <v>15847.27</v>
      </c>
      <c r="H32" s="901">
        <v>15847.27</v>
      </c>
      <c r="I32" s="901">
        <v>17529.089</v>
      </c>
      <c r="J32" s="247"/>
    </row>
    <row r="33" spans="1:10" ht="11.25">
      <c r="A33" s="144" t="s">
        <v>218</v>
      </c>
      <c r="B33" s="99" t="s">
        <v>28</v>
      </c>
      <c r="C33" s="99" t="s">
        <v>732</v>
      </c>
      <c r="D33" s="145" t="s">
        <v>157</v>
      </c>
      <c r="E33" s="55">
        <f>E8*E12*E19/100</f>
        <v>0</v>
      </c>
      <c r="F33" s="55">
        <f>F8*F12*F19/100</f>
        <v>0</v>
      </c>
      <c r="G33" s="55">
        <f>G8*G12*G19/100</f>
        <v>0</v>
      </c>
      <c r="H33" s="55">
        <f>H8*H12*H19/100</f>
        <v>0</v>
      </c>
      <c r="I33" s="55">
        <f>I8*I12*I19/100</f>
        <v>0</v>
      </c>
      <c r="J33" s="248">
        <f>IF(ISERROR(I33/G33),0,I33/G33)</f>
        <v>0</v>
      </c>
    </row>
    <row r="34" spans="1:15" ht="11.25">
      <c r="A34" s="144" t="s">
        <v>220</v>
      </c>
      <c r="B34" s="99" t="s">
        <v>425</v>
      </c>
      <c r="C34" s="99" t="s">
        <v>733</v>
      </c>
      <c r="D34" s="145" t="s">
        <v>157</v>
      </c>
      <c r="E34" s="423"/>
      <c r="F34" s="423"/>
      <c r="G34" s="423"/>
      <c r="H34" s="423"/>
      <c r="I34" s="423"/>
      <c r="J34" s="248">
        <f>IF(ISERROR(I34/G34),0,I34/G34)</f>
        <v>0</v>
      </c>
      <c r="N34" s="165"/>
      <c r="O34" s="165"/>
    </row>
    <row r="35" spans="1:11" ht="11.25">
      <c r="A35" s="144"/>
      <c r="B35" s="99" t="s">
        <v>516</v>
      </c>
      <c r="C35" s="99"/>
      <c r="D35" s="145"/>
      <c r="E35" s="901">
        <f>(E37+E38)-E64</f>
        <v>11530.41175</v>
      </c>
      <c r="F35" s="901">
        <f>(F37+F38)-F64</f>
        <v>12648.227619857713</v>
      </c>
      <c r="G35" s="901">
        <f>(G37+G38)-G64</f>
        <v>15845.995424000002</v>
      </c>
      <c r="H35" s="901">
        <f>(H37+H38)-H64</f>
        <v>15845.995424000002</v>
      </c>
      <c r="I35" s="901">
        <f>(I37+I38)-I64</f>
        <v>17529.087256534935</v>
      </c>
      <c r="J35" s="247"/>
      <c r="K35" s="452"/>
    </row>
    <row r="36" spans="1:10" ht="11.25">
      <c r="A36" s="144"/>
      <c r="B36" s="99" t="s">
        <v>29</v>
      </c>
      <c r="C36" s="99" t="s">
        <v>856</v>
      </c>
      <c r="D36" s="145" t="s">
        <v>157</v>
      </c>
      <c r="E36" s="55">
        <f>E8*E15*E22/100+E50</f>
        <v>158.89575000000002</v>
      </c>
      <c r="F36" s="55">
        <f>F8*F15*F22/100+F50</f>
        <v>163.124298402</v>
      </c>
      <c r="G36" s="55">
        <f>G8*G15*G22/100+G50</f>
        <v>210.17852800000003</v>
      </c>
      <c r="H36" s="55">
        <f>H8*H15*H22/100+H50</f>
        <v>210.17852800000003</v>
      </c>
      <c r="I36" s="55">
        <f>I8*I15*I22/100+I50</f>
        <v>482.365569285</v>
      </c>
      <c r="J36" s="248">
        <f>IF(ISERROR(I36/G36),0,I36/G36)</f>
        <v>2.2950278217049838</v>
      </c>
    </row>
    <row r="37" spans="1:10" ht="11.25">
      <c r="A37" s="144"/>
      <c r="B37" s="99" t="s">
        <v>30</v>
      </c>
      <c r="C37" s="99" t="s">
        <v>857</v>
      </c>
      <c r="D37" s="145" t="s">
        <v>157</v>
      </c>
      <c r="E37" s="55">
        <f>E8*E16*E23/100+E51+E57</f>
        <v>4080.7877500000004</v>
      </c>
      <c r="F37" s="55">
        <f>F8*F16*F23/100+F51+F57</f>
        <v>4251.982801831709</v>
      </c>
      <c r="G37" s="55">
        <f>G8*G16*G23/100+G51+G57</f>
        <v>4924.539536000001</v>
      </c>
      <c r="H37" s="55">
        <f>H8*H16*H23/100+H51+H57</f>
        <v>4924.539536000001</v>
      </c>
      <c r="I37" s="55">
        <f>I8*I16*I23/100+I51+I57</f>
        <v>6310.845678694936</v>
      </c>
      <c r="J37" s="248">
        <f>IF(ISERROR(I37/G37),0,I37/G37)</f>
        <v>1.2815098005733494</v>
      </c>
    </row>
    <row r="38" spans="1:12" ht="11.25">
      <c r="A38" s="144" t="s">
        <v>222</v>
      </c>
      <c r="B38" s="99" t="s">
        <v>31</v>
      </c>
      <c r="C38" s="99" t="s">
        <v>734</v>
      </c>
      <c r="D38" s="145" t="s">
        <v>157</v>
      </c>
      <c r="E38" s="55">
        <f>E8*E17*E24/100+E64</f>
        <v>10439.94042660813</v>
      </c>
      <c r="F38" s="55">
        <f>F8*F17*F24/100+F64</f>
        <v>11491.463424347225</v>
      </c>
      <c r="G38" s="55">
        <f>G8*G17*G24/100+G64</f>
        <v>14518.533149099794</v>
      </c>
      <c r="H38" s="55">
        <f>H8*H17*H24/100+H64</f>
        <v>14518.533149099794</v>
      </c>
      <c r="I38" s="55">
        <f>I8*I17*I24/100+I64</f>
        <v>15538.68868295199</v>
      </c>
      <c r="J38" s="248">
        <f>IF(ISERROR(I38/G38),0,I38/G38)</f>
        <v>1.0702657440235586</v>
      </c>
      <c r="L38" s="460"/>
    </row>
    <row r="39" spans="1:10" ht="33.75">
      <c r="A39" s="144" t="s">
        <v>228</v>
      </c>
      <c r="B39" s="99" t="s">
        <v>523</v>
      </c>
      <c r="C39" s="99" t="s">
        <v>394</v>
      </c>
      <c r="D39" s="145"/>
      <c r="E39" s="146"/>
      <c r="F39" s="146"/>
      <c r="G39" s="146"/>
      <c r="H39" s="146"/>
      <c r="I39" s="146"/>
      <c r="J39" s="247"/>
    </row>
    <row r="40" spans="1:10" ht="11.25">
      <c r="A40" s="144" t="s">
        <v>524</v>
      </c>
      <c r="B40" s="99" t="s">
        <v>28</v>
      </c>
      <c r="C40" s="99" t="s">
        <v>738</v>
      </c>
      <c r="D40" s="145" t="s">
        <v>525</v>
      </c>
      <c r="E40" s="55">
        <f>IF((E12*(1-E19/100))=0,0,E33/(E12*(1-E19/100)))</f>
        <v>0</v>
      </c>
      <c r="F40" s="55">
        <f>IF((F12*(1-F19/100))=0,0,F33/(F12*(1-F19/100)))</f>
        <v>0</v>
      </c>
      <c r="G40" s="55">
        <f>IF((G12*(1-G19/100))=0,0,G33/(G12*(1-G19/100)))</f>
        <v>0</v>
      </c>
      <c r="H40" s="55">
        <f>IF((H12*(1-H19/100))=0,0,H33/(H12*(1-H19/100)))</f>
        <v>0</v>
      </c>
      <c r="I40" s="55">
        <f>IF((I12*(1-I19/100))=0,0,I33/(I12*(1-I19/100)))</f>
        <v>0</v>
      </c>
      <c r="J40" s="248">
        <f>IF(ISERROR(I40/G40),0,I40/G40)</f>
        <v>0</v>
      </c>
    </row>
    <row r="41" spans="1:10" ht="11.25">
      <c r="A41" s="144" t="s">
        <v>526</v>
      </c>
      <c r="B41" s="99" t="s">
        <v>425</v>
      </c>
      <c r="C41" s="99" t="s">
        <v>739</v>
      </c>
      <c r="D41" s="145" t="s">
        <v>525</v>
      </c>
      <c r="E41" s="423"/>
      <c r="F41" s="423"/>
      <c r="G41" s="423"/>
      <c r="H41" s="423"/>
      <c r="I41" s="423"/>
      <c r="J41" s="248">
        <f>IF(ISERROR(I41/G41),0,I41/G41)</f>
        <v>0</v>
      </c>
    </row>
    <row r="42" spans="1:10" ht="11.25">
      <c r="A42" s="144"/>
      <c r="B42" s="99" t="s">
        <v>516</v>
      </c>
      <c r="C42" s="99"/>
      <c r="D42" s="145"/>
      <c r="E42" s="146"/>
      <c r="F42" s="146"/>
      <c r="G42" s="146"/>
      <c r="H42" s="146"/>
      <c r="I42" s="146"/>
      <c r="J42" s="247"/>
    </row>
    <row r="43" spans="1:10" ht="11.25">
      <c r="A43" s="144"/>
      <c r="B43" s="99" t="s">
        <v>29</v>
      </c>
      <c r="C43" s="99" t="s">
        <v>858</v>
      </c>
      <c r="D43" s="145" t="s">
        <v>525</v>
      </c>
      <c r="E43" s="55">
        <f aca="true" t="shared" si="1" ref="E43:I45">IF((E15*(1-E22/100))=0,0,E36/(E15*(1-E22/100)))</f>
        <v>16.515512940442783</v>
      </c>
      <c r="F43" s="55">
        <f t="shared" si="1"/>
        <v>17.380314606303415</v>
      </c>
      <c r="G43" s="55">
        <f t="shared" si="1"/>
        <v>20.606142081217282</v>
      </c>
      <c r="H43" s="55">
        <f t="shared" si="1"/>
        <v>20.606142081217282</v>
      </c>
      <c r="I43" s="55">
        <f t="shared" si="1"/>
        <v>72.59955032701478</v>
      </c>
      <c r="J43" s="248">
        <f>IF(ISERROR(I43/G43),0,I43/G43)</f>
        <v>3.5231995412275667</v>
      </c>
    </row>
    <row r="44" spans="1:10" ht="11.25">
      <c r="A44" s="144"/>
      <c r="B44" s="99" t="s">
        <v>30</v>
      </c>
      <c r="C44" s="99" t="s">
        <v>859</v>
      </c>
      <c r="D44" s="145" t="s">
        <v>525</v>
      </c>
      <c r="E44" s="55">
        <f t="shared" si="1"/>
        <v>51.92720587580341</v>
      </c>
      <c r="F44" s="55">
        <f t="shared" si="1"/>
        <v>53.18067302254627</v>
      </c>
      <c r="G44" s="55">
        <f t="shared" si="1"/>
        <v>60.614715748867916</v>
      </c>
      <c r="H44" s="55">
        <f t="shared" si="1"/>
        <v>60.614715748867916</v>
      </c>
      <c r="I44" s="55">
        <f t="shared" si="1"/>
        <v>74.14134595779436</v>
      </c>
      <c r="J44" s="248">
        <f>IF(ISERROR(I44/G44),0,I44/G44)</f>
        <v>1.2231575293525825</v>
      </c>
    </row>
    <row r="45" spans="1:10" ht="11.25">
      <c r="A45" s="144" t="s">
        <v>527</v>
      </c>
      <c r="B45" s="99" t="s">
        <v>31</v>
      </c>
      <c r="C45" s="99" t="s">
        <v>740</v>
      </c>
      <c r="D45" s="145" t="s">
        <v>525</v>
      </c>
      <c r="E45" s="55">
        <f t="shared" si="1"/>
        <v>205.35217758359946</v>
      </c>
      <c r="F45" s="55">
        <f t="shared" si="1"/>
        <v>225.13608172725807</v>
      </c>
      <c r="G45" s="55">
        <f t="shared" si="1"/>
        <v>278.74531103977114</v>
      </c>
      <c r="H45" s="55">
        <f t="shared" si="1"/>
        <v>278.74531103977114</v>
      </c>
      <c r="I45" s="55">
        <f t="shared" si="1"/>
        <v>304.62764289138045</v>
      </c>
      <c r="J45" s="248">
        <f>IF(ISERROR(I45/G45),0,I45/G45)</f>
        <v>1.092852976629682</v>
      </c>
    </row>
    <row r="46" spans="1:10" ht="11.25">
      <c r="A46" s="144"/>
      <c r="B46" s="99"/>
      <c r="C46" s="99"/>
      <c r="D46" s="145"/>
      <c r="E46" s="145"/>
      <c r="F46" s="145"/>
      <c r="G46" s="145"/>
      <c r="H46" s="145"/>
      <c r="I46" s="145"/>
      <c r="J46" s="247"/>
    </row>
    <row r="47" spans="1:10" ht="11.25">
      <c r="A47" s="880"/>
      <c r="B47" s="786" t="s">
        <v>528</v>
      </c>
      <c r="C47" s="300" t="s">
        <v>758</v>
      </c>
      <c r="D47" s="178"/>
      <c r="E47" s="55">
        <f>E33-E40*E26</f>
        <v>0</v>
      </c>
      <c r="F47" s="55">
        <f>F33-F40*F26</f>
        <v>0</v>
      </c>
      <c r="G47" s="55">
        <f>G33-G40*G26</f>
        <v>0</v>
      </c>
      <c r="H47" s="55">
        <f>H33-H40*H26</f>
        <v>0</v>
      </c>
      <c r="I47" s="55">
        <f>I33-I40*I26</f>
        <v>0</v>
      </c>
      <c r="J47" s="248">
        <f>IF(ISERROR(I47/G47),0,I47/G47)</f>
        <v>0</v>
      </c>
    </row>
    <row r="48" spans="1:10" ht="11.25">
      <c r="A48" s="880"/>
      <c r="B48" s="786"/>
      <c r="C48" s="300" t="s">
        <v>759</v>
      </c>
      <c r="D48" s="178"/>
      <c r="E48" s="146"/>
      <c r="F48" s="146"/>
      <c r="G48" s="146"/>
      <c r="H48" s="146"/>
      <c r="I48" s="146"/>
      <c r="J48" s="247"/>
    </row>
    <row r="49" spans="1:10" ht="11.25">
      <c r="A49" s="880"/>
      <c r="B49" s="786"/>
      <c r="C49" s="300" t="s">
        <v>760</v>
      </c>
      <c r="D49" s="178"/>
      <c r="E49" s="146"/>
      <c r="F49" s="146"/>
      <c r="G49" s="146"/>
      <c r="H49" s="146"/>
      <c r="I49" s="146"/>
      <c r="J49" s="247"/>
    </row>
    <row r="50" spans="1:10" ht="11.25">
      <c r="A50" s="880"/>
      <c r="B50" s="786"/>
      <c r="C50" s="300" t="s">
        <v>761</v>
      </c>
      <c r="D50" s="178"/>
      <c r="E50" s="233">
        <f>IF((4!G15+4!H15)=0,0,E47*4!G15/(4!G15+4!H15))</f>
        <v>0</v>
      </c>
      <c r="F50" s="233">
        <f>IF((4!L15+4!M15)=0,0,F47*4!L15/(4!L15+4!M15))</f>
        <v>0</v>
      </c>
      <c r="G50" s="233">
        <f>IF((4!Q15+4!R15)=0,0,G47*4!Q15/(4!Q15+4!R15))</f>
        <v>0</v>
      </c>
      <c r="H50" s="233">
        <f>IF((4!V15+4!W15)=0,0,H47*4!V15/(4!V15+4!W15))</f>
        <v>0</v>
      </c>
      <c r="I50" s="233">
        <f>IF((4!AK15+4!AL15)=0,0,I47*4!AK15/(4!AK15+4!AL15))</f>
        <v>0</v>
      </c>
      <c r="J50" s="248">
        <f>IF(ISERROR(I50/G50),0,I50/G50)</f>
        <v>0</v>
      </c>
    </row>
    <row r="51" spans="1:10" ht="11.25">
      <c r="A51" s="880"/>
      <c r="B51" s="786"/>
      <c r="C51" s="300" t="s">
        <v>860</v>
      </c>
      <c r="D51" s="178"/>
      <c r="E51" s="55">
        <f>(E33-E40*E26)-E50</f>
        <v>0</v>
      </c>
      <c r="F51" s="55">
        <f>(F33-F40*F26)-F50</f>
        <v>0</v>
      </c>
      <c r="G51" s="55">
        <f>(G33-G40*G26)-G50</f>
        <v>0</v>
      </c>
      <c r="H51" s="55">
        <f>(H33-H40*H26)-H50</f>
        <v>0</v>
      </c>
      <c r="I51" s="55">
        <f>(I33-I40*I26)-I50</f>
        <v>0</v>
      </c>
      <c r="J51" s="248">
        <f>IF(ISERROR(I51/G51),0,I51/G51)</f>
        <v>0</v>
      </c>
    </row>
    <row r="52" spans="1:10" ht="11.25">
      <c r="A52" s="880"/>
      <c r="B52" s="786"/>
      <c r="C52" s="300" t="s">
        <v>861</v>
      </c>
      <c r="D52" s="178"/>
      <c r="E52" s="146"/>
      <c r="F52" s="146"/>
      <c r="G52" s="146"/>
      <c r="H52" s="146"/>
      <c r="I52" s="146"/>
      <c r="J52" s="247"/>
    </row>
    <row r="53" spans="1:10" ht="11.25">
      <c r="A53" s="880"/>
      <c r="B53" s="786" t="s">
        <v>529</v>
      </c>
      <c r="C53" s="300" t="s">
        <v>862</v>
      </c>
      <c r="D53" s="178"/>
      <c r="E53" s="146"/>
      <c r="F53" s="146"/>
      <c r="G53" s="146"/>
      <c r="H53" s="146"/>
      <c r="I53" s="146"/>
      <c r="J53" s="247"/>
    </row>
    <row r="54" spans="1:10" ht="11.25">
      <c r="A54" s="880"/>
      <c r="B54" s="786"/>
      <c r="C54" s="300" t="s">
        <v>863</v>
      </c>
      <c r="D54" s="178"/>
      <c r="E54" s="146"/>
      <c r="F54" s="146"/>
      <c r="G54" s="146"/>
      <c r="H54" s="146"/>
      <c r="I54" s="146"/>
      <c r="J54" s="247"/>
    </row>
    <row r="55" spans="1:10" ht="11.25">
      <c r="A55" s="880"/>
      <c r="B55" s="786"/>
      <c r="C55" s="300" t="s">
        <v>864</v>
      </c>
      <c r="D55" s="178"/>
      <c r="E55" s="146"/>
      <c r="F55" s="146"/>
      <c r="G55" s="146"/>
      <c r="H55" s="146"/>
      <c r="I55" s="146"/>
      <c r="J55" s="247"/>
    </row>
    <row r="56" spans="1:10" ht="11.25">
      <c r="A56" s="880"/>
      <c r="B56" s="786"/>
      <c r="C56" s="300" t="s">
        <v>865</v>
      </c>
      <c r="D56" s="178"/>
      <c r="E56" s="146"/>
      <c r="F56" s="146"/>
      <c r="G56" s="146"/>
      <c r="H56" s="146"/>
      <c r="I56" s="146"/>
      <c r="J56" s="247"/>
    </row>
    <row r="57" spans="1:10" ht="11.25">
      <c r="A57" s="880"/>
      <c r="B57" s="786"/>
      <c r="C57" s="300" t="s">
        <v>866</v>
      </c>
      <c r="D57" s="178"/>
      <c r="E57" s="55">
        <f>E36-E43*E29</f>
        <v>158.89575000000002</v>
      </c>
      <c r="F57" s="55">
        <f>F36-F43*F29</f>
        <v>163.09301383570866</v>
      </c>
      <c r="G57" s="55">
        <f>G36-G43*G29</f>
        <v>210.17852800000003</v>
      </c>
      <c r="H57" s="55">
        <f>H36-H43*H29</f>
        <v>210.17852800000003</v>
      </c>
      <c r="I57" s="55">
        <f>I36-I43*I29</f>
        <v>480.79741899793646</v>
      </c>
      <c r="J57" s="248">
        <f>IF(ISERROR(I57/G57),0,I57/G57)</f>
        <v>2.287566782263964</v>
      </c>
    </row>
    <row r="58" spans="1:10" ht="11.25">
      <c r="A58" s="880"/>
      <c r="B58" s="786"/>
      <c r="C58" s="300" t="s">
        <v>867</v>
      </c>
      <c r="D58" s="178"/>
      <c r="E58" s="146"/>
      <c r="F58" s="146"/>
      <c r="G58" s="146"/>
      <c r="H58" s="146"/>
      <c r="I58" s="146"/>
      <c r="J58" s="247"/>
    </row>
    <row r="59" spans="1:10" ht="11.25">
      <c r="A59" s="880"/>
      <c r="B59" s="786" t="s">
        <v>530</v>
      </c>
      <c r="C59" s="300" t="s">
        <v>868</v>
      </c>
      <c r="D59" s="178"/>
      <c r="E59" s="146"/>
      <c r="F59" s="146"/>
      <c r="G59" s="146"/>
      <c r="H59" s="146"/>
      <c r="I59" s="146"/>
      <c r="J59" s="247"/>
    </row>
    <row r="60" spans="1:10" ht="11.25">
      <c r="A60" s="880"/>
      <c r="B60" s="786"/>
      <c r="C60" s="300" t="s">
        <v>869</v>
      </c>
      <c r="D60" s="178"/>
      <c r="E60" s="146"/>
      <c r="F60" s="146"/>
      <c r="G60" s="146"/>
      <c r="H60" s="146"/>
      <c r="I60" s="146"/>
      <c r="J60" s="247"/>
    </row>
    <row r="61" spans="1:10" ht="11.25">
      <c r="A61" s="880"/>
      <c r="B61" s="786"/>
      <c r="C61" s="300" t="s">
        <v>870</v>
      </c>
      <c r="D61" s="178"/>
      <c r="E61" s="146"/>
      <c r="F61" s="146"/>
      <c r="G61" s="146"/>
      <c r="H61" s="146"/>
      <c r="I61" s="146"/>
      <c r="J61" s="247"/>
    </row>
    <row r="62" spans="1:10" ht="11.25">
      <c r="A62" s="880"/>
      <c r="B62" s="786"/>
      <c r="C62" s="300" t="s">
        <v>871</v>
      </c>
      <c r="D62" s="178"/>
      <c r="E62" s="146"/>
      <c r="F62" s="146"/>
      <c r="G62" s="146"/>
      <c r="H62" s="146"/>
      <c r="I62" s="146"/>
      <c r="J62" s="247"/>
    </row>
    <row r="63" spans="1:10" ht="15" customHeight="1">
      <c r="A63" s="880"/>
      <c r="B63" s="786"/>
      <c r="C63" s="300" t="s">
        <v>872</v>
      </c>
      <c r="D63" s="178"/>
      <c r="E63" s="146"/>
      <c r="F63" s="146"/>
      <c r="G63" s="146"/>
      <c r="H63" s="146"/>
      <c r="I63" s="146"/>
      <c r="J63" s="247"/>
    </row>
    <row r="64" spans="1:10" ht="12" thickBot="1">
      <c r="A64" s="881"/>
      <c r="B64" s="878"/>
      <c r="C64" s="301" t="s">
        <v>873</v>
      </c>
      <c r="D64" s="302"/>
      <c r="E64" s="166">
        <f>E37-E44*E30</f>
        <v>2990.3164266081285</v>
      </c>
      <c r="F64" s="166">
        <f>F37-F44*F30</f>
        <v>3095.218606321222</v>
      </c>
      <c r="G64" s="166">
        <f>G37-G44*G30</f>
        <v>3597.0772610997938</v>
      </c>
      <c r="H64" s="166">
        <f>H37-H44*H30</f>
        <v>3597.0772610997938</v>
      </c>
      <c r="I64" s="166">
        <f>I37-I44*I30</f>
        <v>4320.447105111989</v>
      </c>
      <c r="J64" s="250">
        <f>IF(ISERROR(I64/G64),0,I64/G64)</f>
        <v>1.2010993346834666</v>
      </c>
    </row>
    <row r="65" spans="2:3" s="179" customFormat="1" ht="11.25">
      <c r="B65" s="180"/>
      <c r="C65" s="180"/>
    </row>
    <row r="66" spans="2:3" s="179" customFormat="1" ht="11.25">
      <c r="B66" s="180"/>
      <c r="C66" s="180"/>
    </row>
    <row r="67" spans="2:3" s="179" customFormat="1" ht="11.25">
      <c r="B67" s="180"/>
      <c r="C67" s="180"/>
    </row>
    <row r="68" spans="2:3" s="179" customFormat="1" ht="11.25">
      <c r="B68" s="180"/>
      <c r="C68" s="180"/>
    </row>
    <row r="69" spans="2:6" s="179" customFormat="1" ht="15">
      <c r="B69" s="576" t="s">
        <v>1291</v>
      </c>
      <c r="C69" s="608"/>
      <c r="D69" s="607"/>
      <c r="E69" s="608" t="s">
        <v>1351</v>
      </c>
      <c r="F69"/>
    </row>
    <row r="70" spans="2:6" s="179" customFormat="1" ht="15">
      <c r="B70" s="576" t="s">
        <v>1354</v>
      </c>
      <c r="C70" s="576"/>
      <c r="D70" s="576" t="s">
        <v>1288</v>
      </c>
      <c r="E70" s="576"/>
      <c r="F70"/>
    </row>
    <row r="71" spans="2:6" s="179" customFormat="1" ht="15">
      <c r="B71" s="576" t="s">
        <v>1355</v>
      </c>
      <c r="C71" s="576"/>
      <c r="D71" s="576"/>
      <c r="E71" s="576"/>
      <c r="F71"/>
    </row>
    <row r="72" spans="2:3" s="179" customFormat="1" ht="11.25">
      <c r="B72" s="180"/>
      <c r="C72" s="180"/>
    </row>
    <row r="73" spans="2:3" s="179" customFormat="1" ht="11.25">
      <c r="B73" s="180"/>
      <c r="C73" s="180"/>
    </row>
    <row r="74" spans="2:3" s="179" customFormat="1" ht="11.25">
      <c r="B74" s="180"/>
      <c r="C74" s="180"/>
    </row>
    <row r="75" spans="2:3" s="179" customFormat="1" ht="11.25">
      <c r="B75" s="180"/>
      <c r="C75" s="180"/>
    </row>
    <row r="76" spans="2:3" s="179" customFormat="1" ht="11.25">
      <c r="B76" s="180"/>
      <c r="C76" s="180"/>
    </row>
    <row r="77" spans="2:3" s="179" customFormat="1" ht="11.25">
      <c r="B77" s="180"/>
      <c r="C77" s="180"/>
    </row>
    <row r="78" spans="2:3" s="179" customFormat="1" ht="11.25">
      <c r="B78" s="180"/>
      <c r="C78" s="180"/>
    </row>
    <row r="79" spans="2:3" s="179" customFormat="1" ht="11.25">
      <c r="B79" s="180"/>
      <c r="C79" s="180"/>
    </row>
    <row r="80" spans="2:3" s="179" customFormat="1" ht="11.25">
      <c r="B80" s="180"/>
      <c r="C80" s="180"/>
    </row>
    <row r="81" spans="2:3" s="179" customFormat="1" ht="11.25">
      <c r="B81" s="180"/>
      <c r="C81" s="180"/>
    </row>
    <row r="82" spans="2:3" s="179" customFormat="1" ht="11.25">
      <c r="B82" s="180"/>
      <c r="C82" s="180"/>
    </row>
    <row r="83" spans="2:3" s="179" customFormat="1" ht="11.25">
      <c r="B83" s="180"/>
      <c r="C83" s="180"/>
    </row>
    <row r="84" spans="2:3" s="179" customFormat="1" ht="11.25">
      <c r="B84" s="180"/>
      <c r="C84" s="180"/>
    </row>
    <row r="85" spans="2:3" s="179" customFormat="1" ht="11.25">
      <c r="B85" s="180"/>
      <c r="C85" s="180"/>
    </row>
    <row r="86" spans="2:3" s="179" customFormat="1" ht="11.25">
      <c r="B86" s="180"/>
      <c r="C86" s="180"/>
    </row>
    <row r="87" spans="2:3" s="179" customFormat="1" ht="11.25">
      <c r="B87" s="180"/>
      <c r="C87" s="180"/>
    </row>
    <row r="88" spans="2:3" s="179" customFormat="1" ht="11.25">
      <c r="B88" s="180"/>
      <c r="C88" s="180"/>
    </row>
    <row r="89" spans="2:3" s="179" customFormat="1" ht="11.25">
      <c r="B89" s="180"/>
      <c r="C89" s="180"/>
    </row>
    <row r="90" spans="2:3" s="179" customFormat="1" ht="11.25">
      <c r="B90" s="180"/>
      <c r="C90" s="180"/>
    </row>
    <row r="91" spans="2:3" s="179" customFormat="1" ht="11.25">
      <c r="B91" s="180"/>
      <c r="C91" s="180"/>
    </row>
    <row r="92" spans="2:3" s="179" customFormat="1" ht="11.25">
      <c r="B92" s="180"/>
      <c r="C92" s="180"/>
    </row>
    <row r="93" spans="2:3" s="179" customFormat="1" ht="11.25">
      <c r="B93" s="180"/>
      <c r="C93" s="180"/>
    </row>
    <row r="94" spans="2:3" s="179" customFormat="1" ht="11.25">
      <c r="B94" s="180"/>
      <c r="C94" s="180"/>
    </row>
    <row r="95" spans="2:3" s="179" customFormat="1" ht="11.25">
      <c r="B95" s="180"/>
      <c r="C95" s="180"/>
    </row>
    <row r="96" spans="2:3" s="179" customFormat="1" ht="11.25">
      <c r="B96" s="180"/>
      <c r="C96" s="180"/>
    </row>
    <row r="97" spans="2:3" s="179" customFormat="1" ht="11.25">
      <c r="B97" s="180"/>
      <c r="C97" s="180"/>
    </row>
    <row r="98" spans="2:3" s="179" customFormat="1" ht="11.25">
      <c r="B98" s="180"/>
      <c r="C98" s="180"/>
    </row>
    <row r="99" spans="2:3" s="179" customFormat="1" ht="11.25">
      <c r="B99" s="180"/>
      <c r="C99" s="180"/>
    </row>
    <row r="100" spans="2:3" s="179" customFormat="1" ht="11.25">
      <c r="B100" s="180"/>
      <c r="C100" s="180"/>
    </row>
    <row r="101" spans="2:3" s="179" customFormat="1" ht="11.25">
      <c r="B101" s="180"/>
      <c r="C101" s="180"/>
    </row>
    <row r="102" spans="2:3" s="179" customFormat="1" ht="11.25">
      <c r="B102" s="180"/>
      <c r="C102" s="180"/>
    </row>
    <row r="103" spans="2:3" s="179" customFormat="1" ht="11.25">
      <c r="B103" s="180"/>
      <c r="C103" s="180"/>
    </row>
    <row r="104" spans="2:3" s="179" customFormat="1" ht="11.25">
      <c r="B104" s="180"/>
      <c r="C104" s="180"/>
    </row>
    <row r="105" spans="2:3" s="179" customFormat="1" ht="11.25">
      <c r="B105" s="180"/>
      <c r="C105" s="180"/>
    </row>
    <row r="106" spans="2:3" s="179" customFormat="1" ht="11.25">
      <c r="B106" s="180"/>
      <c r="C106" s="180"/>
    </row>
    <row r="107" spans="2:3" s="179" customFormat="1" ht="11.25">
      <c r="B107" s="180"/>
      <c r="C107" s="180"/>
    </row>
    <row r="108" spans="2:3" s="179" customFormat="1" ht="11.25">
      <c r="B108" s="180"/>
      <c r="C108" s="180"/>
    </row>
    <row r="109" spans="2:3" s="179" customFormat="1" ht="11.25">
      <c r="B109" s="180"/>
      <c r="C109" s="180"/>
    </row>
    <row r="110" spans="2:3" s="179" customFormat="1" ht="11.25">
      <c r="B110" s="180"/>
      <c r="C110" s="180"/>
    </row>
    <row r="111" spans="2:3" s="179" customFormat="1" ht="11.25">
      <c r="B111" s="180"/>
      <c r="C111" s="180"/>
    </row>
    <row r="112" spans="2:3" s="179" customFormat="1" ht="11.25">
      <c r="B112" s="180"/>
      <c r="C112" s="180"/>
    </row>
    <row r="113" spans="2:3" s="179" customFormat="1" ht="11.25">
      <c r="B113" s="180"/>
      <c r="C113" s="180"/>
    </row>
    <row r="114" spans="2:3" s="179" customFormat="1" ht="11.25">
      <c r="B114" s="180"/>
      <c r="C114" s="180"/>
    </row>
    <row r="115" spans="2:3" s="179" customFormat="1" ht="11.25">
      <c r="B115" s="180"/>
      <c r="C115" s="180"/>
    </row>
    <row r="116" spans="2:3" s="179" customFormat="1" ht="11.25">
      <c r="B116" s="180"/>
      <c r="C116" s="180"/>
    </row>
    <row r="117" spans="2:3" s="179" customFormat="1" ht="11.25">
      <c r="B117" s="180"/>
      <c r="C117" s="180"/>
    </row>
    <row r="118" spans="2:3" s="179" customFormat="1" ht="11.25">
      <c r="B118" s="180"/>
      <c r="C118" s="180"/>
    </row>
    <row r="119" spans="2:3" s="179" customFormat="1" ht="11.25">
      <c r="B119" s="180"/>
      <c r="C119" s="180"/>
    </row>
    <row r="120" spans="2:3" s="179" customFormat="1" ht="11.25">
      <c r="B120" s="180"/>
      <c r="C120" s="180"/>
    </row>
    <row r="121" spans="2:3" s="179" customFormat="1" ht="11.25">
      <c r="B121" s="180"/>
      <c r="C121" s="180"/>
    </row>
    <row r="122" spans="2:3" s="179" customFormat="1" ht="11.25">
      <c r="B122" s="180"/>
      <c r="C122" s="180"/>
    </row>
    <row r="123" spans="2:3" s="179" customFormat="1" ht="11.25">
      <c r="B123" s="180"/>
      <c r="C123" s="180"/>
    </row>
    <row r="124" spans="2:3" s="179" customFormat="1" ht="11.25">
      <c r="B124" s="180"/>
      <c r="C124" s="180"/>
    </row>
    <row r="125" spans="2:3" s="179" customFormat="1" ht="11.25">
      <c r="B125" s="180"/>
      <c r="C125" s="180"/>
    </row>
    <row r="126" spans="2:3" s="179" customFormat="1" ht="11.25">
      <c r="B126" s="180"/>
      <c r="C126" s="180"/>
    </row>
    <row r="127" spans="2:3" s="179" customFormat="1" ht="11.25">
      <c r="B127" s="180"/>
      <c r="C127" s="180"/>
    </row>
    <row r="128" spans="2:3" s="179" customFormat="1" ht="11.25">
      <c r="B128" s="180"/>
      <c r="C128" s="180"/>
    </row>
    <row r="129" spans="2:3" s="179" customFormat="1" ht="11.25">
      <c r="B129" s="180"/>
      <c r="C129" s="180"/>
    </row>
    <row r="130" spans="2:3" s="179" customFormat="1" ht="11.25">
      <c r="B130" s="180"/>
      <c r="C130" s="180"/>
    </row>
    <row r="131" spans="2:3" s="179" customFormat="1" ht="11.25">
      <c r="B131" s="180"/>
      <c r="C131" s="180"/>
    </row>
    <row r="132" spans="2:3" s="179" customFormat="1" ht="11.25">
      <c r="B132" s="180"/>
      <c r="C132" s="180"/>
    </row>
    <row r="133" spans="2:3" s="179" customFormat="1" ht="11.25">
      <c r="B133" s="180"/>
      <c r="C133" s="180"/>
    </row>
    <row r="134" spans="2:3" s="179" customFormat="1" ht="11.25">
      <c r="B134" s="180"/>
      <c r="C134" s="180"/>
    </row>
    <row r="135" spans="2:3" s="179" customFormat="1" ht="11.25">
      <c r="B135" s="180"/>
      <c r="C135" s="180"/>
    </row>
    <row r="136" spans="2:3" s="179" customFormat="1" ht="11.25">
      <c r="B136" s="180"/>
      <c r="C136" s="180"/>
    </row>
    <row r="137" spans="2:3" s="179" customFormat="1" ht="11.25">
      <c r="B137" s="180"/>
      <c r="C137" s="180"/>
    </row>
    <row r="138" spans="2:3" s="179" customFormat="1" ht="11.25">
      <c r="B138" s="180"/>
      <c r="C138" s="180"/>
    </row>
    <row r="139" spans="2:3" s="179" customFormat="1" ht="11.25">
      <c r="B139" s="180"/>
      <c r="C139" s="180"/>
    </row>
    <row r="140" spans="2:3" s="179" customFormat="1" ht="11.25">
      <c r="B140" s="180"/>
      <c r="C140" s="180"/>
    </row>
    <row r="141" spans="2:3" s="179" customFormat="1" ht="11.25">
      <c r="B141" s="180"/>
      <c r="C141" s="180"/>
    </row>
    <row r="142" spans="2:3" s="179" customFormat="1" ht="11.25">
      <c r="B142" s="180"/>
      <c r="C142" s="180"/>
    </row>
    <row r="143" spans="2:3" s="179" customFormat="1" ht="11.25">
      <c r="B143" s="180"/>
      <c r="C143" s="180"/>
    </row>
    <row r="144" spans="2:3" s="179" customFormat="1" ht="11.25">
      <c r="B144" s="180"/>
      <c r="C144" s="180"/>
    </row>
    <row r="145" spans="2:3" s="179" customFormat="1" ht="11.25">
      <c r="B145" s="180"/>
      <c r="C145" s="180"/>
    </row>
    <row r="146" spans="2:3" s="179" customFormat="1" ht="11.25">
      <c r="B146" s="180"/>
      <c r="C146" s="180"/>
    </row>
    <row r="147" spans="2:3" s="179" customFormat="1" ht="11.25">
      <c r="B147" s="180"/>
      <c r="C147" s="180"/>
    </row>
    <row r="148" spans="2:3" s="179" customFormat="1" ht="11.25">
      <c r="B148" s="180"/>
      <c r="C148" s="180"/>
    </row>
    <row r="149" spans="2:3" s="179" customFormat="1" ht="11.25">
      <c r="B149" s="180"/>
      <c r="C149" s="180"/>
    </row>
    <row r="150" spans="2:3" s="179" customFormat="1" ht="11.25">
      <c r="B150" s="180"/>
      <c r="C150" s="180"/>
    </row>
    <row r="151" spans="2:3" s="179" customFormat="1" ht="11.25">
      <c r="B151" s="180"/>
      <c r="C151" s="180"/>
    </row>
    <row r="152" spans="2:3" s="179" customFormat="1" ht="11.25">
      <c r="B152" s="180"/>
      <c r="C152" s="180"/>
    </row>
    <row r="153" spans="2:3" s="179" customFormat="1" ht="11.25">
      <c r="B153" s="180"/>
      <c r="C153" s="180"/>
    </row>
    <row r="154" spans="2:3" s="179" customFormat="1" ht="11.25">
      <c r="B154" s="180"/>
      <c r="C154" s="180"/>
    </row>
    <row r="155" spans="2:3" s="179" customFormat="1" ht="11.25">
      <c r="B155" s="180"/>
      <c r="C155" s="180"/>
    </row>
    <row r="156" spans="2:3" s="179" customFormat="1" ht="11.25">
      <c r="B156" s="180"/>
      <c r="C156" s="180"/>
    </row>
    <row r="157" spans="2:3" s="179" customFormat="1" ht="11.25">
      <c r="B157" s="180"/>
      <c r="C157" s="180"/>
    </row>
    <row r="158" spans="2:3" s="179" customFormat="1" ht="11.25">
      <c r="B158" s="180"/>
      <c r="C158" s="180"/>
    </row>
    <row r="159" spans="2:3" s="179" customFormat="1" ht="11.25">
      <c r="B159" s="180"/>
      <c r="C159" s="180"/>
    </row>
    <row r="160" spans="2:3" s="179" customFormat="1" ht="11.25">
      <c r="B160" s="180"/>
      <c r="C160" s="180"/>
    </row>
    <row r="161" spans="2:3" s="179" customFormat="1" ht="11.25">
      <c r="B161" s="180"/>
      <c r="C161" s="180"/>
    </row>
    <row r="162" spans="2:3" s="179" customFormat="1" ht="11.25">
      <c r="B162" s="180"/>
      <c r="C162" s="180"/>
    </row>
    <row r="163" spans="2:3" s="179" customFormat="1" ht="11.25">
      <c r="B163" s="180"/>
      <c r="C163" s="180"/>
    </row>
    <row r="164" spans="2:3" s="179" customFormat="1" ht="11.25">
      <c r="B164" s="180"/>
      <c r="C164" s="180"/>
    </row>
    <row r="165" spans="2:3" s="179" customFormat="1" ht="11.25">
      <c r="B165" s="180"/>
      <c r="C165" s="180"/>
    </row>
    <row r="166" spans="2:3" s="179" customFormat="1" ht="11.25">
      <c r="B166" s="180"/>
      <c r="C166" s="180"/>
    </row>
    <row r="167" spans="2:3" s="179" customFormat="1" ht="11.25">
      <c r="B167" s="180"/>
      <c r="C167" s="180"/>
    </row>
    <row r="168" spans="2:3" s="179" customFormat="1" ht="11.25">
      <c r="B168" s="180"/>
      <c r="C168" s="180"/>
    </row>
    <row r="169" spans="2:3" s="179" customFormat="1" ht="11.25">
      <c r="B169" s="180"/>
      <c r="C169" s="180"/>
    </row>
    <row r="170" spans="2:3" s="179" customFormat="1" ht="11.25">
      <c r="B170" s="180"/>
      <c r="C170" s="180"/>
    </row>
    <row r="171" spans="2:3" s="179" customFormat="1" ht="11.25">
      <c r="B171" s="180"/>
      <c r="C171" s="180"/>
    </row>
    <row r="172" spans="2:3" s="179" customFormat="1" ht="11.25">
      <c r="B172" s="180"/>
      <c r="C172" s="180"/>
    </row>
    <row r="173" spans="2:3" s="179" customFormat="1" ht="11.25">
      <c r="B173" s="180"/>
      <c r="C173" s="180"/>
    </row>
    <row r="174" spans="2:3" s="179" customFormat="1" ht="11.25">
      <c r="B174" s="180"/>
      <c r="C174" s="180"/>
    </row>
    <row r="175" spans="2:3" s="179" customFormat="1" ht="11.25">
      <c r="B175" s="180"/>
      <c r="C175" s="180"/>
    </row>
    <row r="176" spans="2:3" s="179" customFormat="1" ht="11.25">
      <c r="B176" s="180"/>
      <c r="C176" s="180"/>
    </row>
    <row r="177" spans="2:3" s="179" customFormat="1" ht="11.25">
      <c r="B177" s="180"/>
      <c r="C177" s="180"/>
    </row>
    <row r="178" spans="2:3" s="179" customFormat="1" ht="11.25">
      <c r="B178" s="180"/>
      <c r="C178" s="180"/>
    </row>
    <row r="179" spans="2:3" s="179" customFormat="1" ht="11.25">
      <c r="B179" s="180"/>
      <c r="C179" s="180"/>
    </row>
    <row r="180" spans="2:3" s="179" customFormat="1" ht="11.25">
      <c r="B180" s="180"/>
      <c r="C180" s="180"/>
    </row>
    <row r="181" spans="2:3" s="179" customFormat="1" ht="11.25">
      <c r="B181" s="180"/>
      <c r="C181" s="180"/>
    </row>
    <row r="182" spans="2:3" s="179" customFormat="1" ht="11.25">
      <c r="B182" s="180"/>
      <c r="C182" s="180"/>
    </row>
    <row r="183" spans="2:3" s="179" customFormat="1" ht="11.25">
      <c r="B183" s="180"/>
      <c r="C183" s="180"/>
    </row>
    <row r="184" spans="2:3" s="179" customFormat="1" ht="11.25">
      <c r="B184" s="180"/>
      <c r="C184" s="180"/>
    </row>
    <row r="185" spans="2:3" s="179" customFormat="1" ht="11.25">
      <c r="B185" s="180"/>
      <c r="C185" s="180"/>
    </row>
    <row r="186" spans="2:3" s="179" customFormat="1" ht="11.25">
      <c r="B186" s="180"/>
      <c r="C186" s="180"/>
    </row>
    <row r="187" spans="2:3" s="179" customFormat="1" ht="11.25">
      <c r="B187" s="180"/>
      <c r="C187" s="180"/>
    </row>
    <row r="188" spans="2:3" s="179" customFormat="1" ht="11.25">
      <c r="B188" s="180"/>
      <c r="C188" s="180"/>
    </row>
    <row r="189" spans="2:3" s="179" customFormat="1" ht="11.25">
      <c r="B189" s="180"/>
      <c r="C189" s="180"/>
    </row>
    <row r="190" spans="2:3" s="179" customFormat="1" ht="11.25">
      <c r="B190" s="180"/>
      <c r="C190" s="180"/>
    </row>
    <row r="191" spans="2:3" s="179" customFormat="1" ht="11.25">
      <c r="B191" s="180"/>
      <c r="C191" s="180"/>
    </row>
    <row r="192" spans="2:3" s="179" customFormat="1" ht="11.25">
      <c r="B192" s="180"/>
      <c r="C192" s="180"/>
    </row>
    <row r="193" spans="2:3" s="179" customFormat="1" ht="11.25">
      <c r="B193" s="180"/>
      <c r="C193" s="180"/>
    </row>
    <row r="194" spans="2:3" s="179" customFormat="1" ht="11.25">
      <c r="B194" s="180"/>
      <c r="C194" s="180"/>
    </row>
    <row r="195" spans="2:3" s="179" customFormat="1" ht="11.25">
      <c r="B195" s="180"/>
      <c r="C195" s="180"/>
    </row>
    <row r="196" spans="2:3" s="179" customFormat="1" ht="11.25">
      <c r="B196" s="180"/>
      <c r="C196" s="180"/>
    </row>
    <row r="197" spans="2:3" s="179" customFormat="1" ht="11.25">
      <c r="B197" s="180"/>
      <c r="C197" s="180"/>
    </row>
    <row r="198" spans="2:3" s="179" customFormat="1" ht="11.25">
      <c r="B198" s="180"/>
      <c r="C198" s="180"/>
    </row>
    <row r="199" spans="2:3" s="179" customFormat="1" ht="11.25">
      <c r="B199" s="180"/>
      <c r="C199" s="180"/>
    </row>
    <row r="200" spans="2:3" s="179" customFormat="1" ht="11.25">
      <c r="B200" s="180"/>
      <c r="C200" s="180"/>
    </row>
    <row r="201" spans="2:3" s="179" customFormat="1" ht="11.25">
      <c r="B201" s="180"/>
      <c r="C201" s="180"/>
    </row>
    <row r="202" spans="2:3" s="179" customFormat="1" ht="11.25">
      <c r="B202" s="180"/>
      <c r="C202" s="180"/>
    </row>
    <row r="203" spans="2:3" s="179" customFormat="1" ht="11.25">
      <c r="B203" s="180"/>
      <c r="C203" s="180"/>
    </row>
    <row r="204" spans="2:3" s="179" customFormat="1" ht="11.25">
      <c r="B204" s="180"/>
      <c r="C204" s="180"/>
    </row>
    <row r="205" spans="2:3" s="179" customFormat="1" ht="11.25">
      <c r="B205" s="180"/>
      <c r="C205" s="180"/>
    </row>
    <row r="206" spans="2:3" s="179" customFormat="1" ht="11.25">
      <c r="B206" s="180"/>
      <c r="C206" s="180"/>
    </row>
    <row r="207" spans="2:3" s="179" customFormat="1" ht="11.25">
      <c r="B207" s="180"/>
      <c r="C207" s="180"/>
    </row>
    <row r="208" spans="2:3" s="179" customFormat="1" ht="11.25">
      <c r="B208" s="180"/>
      <c r="C208" s="180"/>
    </row>
    <row r="209" spans="2:3" s="179" customFormat="1" ht="11.25">
      <c r="B209" s="180"/>
      <c r="C209" s="180"/>
    </row>
    <row r="210" spans="2:3" s="179" customFormat="1" ht="11.25">
      <c r="B210" s="180"/>
      <c r="C210" s="180"/>
    </row>
    <row r="211" spans="2:3" s="179" customFormat="1" ht="11.25">
      <c r="B211" s="180"/>
      <c r="C211" s="180"/>
    </row>
    <row r="212" spans="2:3" s="179" customFormat="1" ht="11.25">
      <c r="B212" s="180"/>
      <c r="C212" s="180"/>
    </row>
    <row r="213" spans="2:3" s="179" customFormat="1" ht="11.25">
      <c r="B213" s="180"/>
      <c r="C213" s="180"/>
    </row>
    <row r="214" spans="2:3" s="179" customFormat="1" ht="11.25">
      <c r="B214" s="180"/>
      <c r="C214" s="180"/>
    </row>
    <row r="215" spans="2:3" s="179" customFormat="1" ht="11.25">
      <c r="B215" s="180"/>
      <c r="C215" s="180"/>
    </row>
    <row r="216" spans="2:3" s="179" customFormat="1" ht="11.25">
      <c r="B216" s="180"/>
      <c r="C216" s="180"/>
    </row>
    <row r="217" spans="2:3" s="179" customFormat="1" ht="11.25">
      <c r="B217" s="180"/>
      <c r="C217" s="180"/>
    </row>
    <row r="218" spans="2:3" s="179" customFormat="1" ht="11.25">
      <c r="B218" s="180"/>
      <c r="C218" s="180"/>
    </row>
    <row r="219" spans="2:3" s="179" customFormat="1" ht="11.25">
      <c r="B219" s="180"/>
      <c r="C219" s="180"/>
    </row>
    <row r="220" spans="2:3" s="179" customFormat="1" ht="11.25">
      <c r="B220" s="180"/>
      <c r="C220" s="180"/>
    </row>
    <row r="221" spans="2:3" s="179" customFormat="1" ht="11.25">
      <c r="B221" s="180"/>
      <c r="C221" s="180"/>
    </row>
    <row r="222" spans="2:3" s="179" customFormat="1" ht="11.25">
      <c r="B222" s="180"/>
      <c r="C222" s="180"/>
    </row>
    <row r="223" spans="2:3" s="179" customFormat="1" ht="11.25">
      <c r="B223" s="180"/>
      <c r="C223" s="180"/>
    </row>
    <row r="224" spans="2:3" s="179" customFormat="1" ht="11.25">
      <c r="B224" s="180"/>
      <c r="C224" s="180"/>
    </row>
    <row r="225" spans="2:3" s="179" customFormat="1" ht="11.25">
      <c r="B225" s="180"/>
      <c r="C225" s="180"/>
    </row>
    <row r="226" spans="2:3" s="179" customFormat="1" ht="11.25">
      <c r="B226" s="180"/>
      <c r="C226" s="180"/>
    </row>
    <row r="227" spans="2:3" s="179" customFormat="1" ht="11.25">
      <c r="B227" s="180"/>
      <c r="C227" s="180"/>
    </row>
    <row r="228" spans="2:3" s="179" customFormat="1" ht="11.25">
      <c r="B228" s="180"/>
      <c r="C228" s="180"/>
    </row>
    <row r="229" spans="2:3" s="179" customFormat="1" ht="11.25">
      <c r="B229" s="180"/>
      <c r="C229" s="180"/>
    </row>
    <row r="230" spans="2:3" s="179" customFormat="1" ht="11.25">
      <c r="B230" s="180"/>
      <c r="C230" s="180"/>
    </row>
    <row r="231" spans="2:3" s="179" customFormat="1" ht="11.25">
      <c r="B231" s="180"/>
      <c r="C231" s="180"/>
    </row>
    <row r="232" spans="2:3" s="179" customFormat="1" ht="11.25">
      <c r="B232" s="180"/>
      <c r="C232" s="180"/>
    </row>
    <row r="233" spans="2:3" s="179" customFormat="1" ht="11.25">
      <c r="B233" s="180"/>
      <c r="C233" s="180"/>
    </row>
    <row r="234" spans="2:3" s="179" customFormat="1" ht="11.25">
      <c r="B234" s="180"/>
      <c r="C234" s="180"/>
    </row>
    <row r="235" spans="2:3" s="179" customFormat="1" ht="11.25">
      <c r="B235" s="180"/>
      <c r="C235" s="180"/>
    </row>
    <row r="236" spans="2:3" s="179" customFormat="1" ht="11.25">
      <c r="B236" s="180"/>
      <c r="C236" s="180"/>
    </row>
    <row r="237" spans="2:3" s="179" customFormat="1" ht="11.25">
      <c r="B237" s="180"/>
      <c r="C237" s="180"/>
    </row>
    <row r="238" spans="2:3" s="179" customFormat="1" ht="11.25">
      <c r="B238" s="180"/>
      <c r="C238" s="180"/>
    </row>
    <row r="239" spans="2:3" s="179" customFormat="1" ht="11.25">
      <c r="B239" s="180"/>
      <c r="C239" s="180"/>
    </row>
    <row r="240" spans="2:3" s="179" customFormat="1" ht="11.25">
      <c r="B240" s="180"/>
      <c r="C240" s="180"/>
    </row>
    <row r="241" spans="2:3" s="179" customFormat="1" ht="11.25">
      <c r="B241" s="180"/>
      <c r="C241" s="180"/>
    </row>
    <row r="242" spans="2:3" s="179" customFormat="1" ht="11.25">
      <c r="B242" s="180"/>
      <c r="C242" s="180"/>
    </row>
    <row r="243" spans="2:3" s="179" customFormat="1" ht="11.25">
      <c r="B243" s="180"/>
      <c r="C243" s="180"/>
    </row>
    <row r="244" spans="2:3" s="179" customFormat="1" ht="11.25">
      <c r="B244" s="180"/>
      <c r="C244" s="180"/>
    </row>
    <row r="245" spans="2:3" s="179" customFormat="1" ht="11.25">
      <c r="B245" s="180"/>
      <c r="C245" s="180"/>
    </row>
    <row r="246" spans="2:3" s="179" customFormat="1" ht="11.25">
      <c r="B246" s="180"/>
      <c r="C246" s="180"/>
    </row>
    <row r="247" spans="2:3" s="179" customFormat="1" ht="11.25">
      <c r="B247" s="180"/>
      <c r="C247" s="180"/>
    </row>
    <row r="248" spans="2:3" s="179" customFormat="1" ht="11.25">
      <c r="B248" s="180"/>
      <c r="C248" s="180"/>
    </row>
    <row r="249" spans="2:3" s="179" customFormat="1" ht="11.25">
      <c r="B249" s="180"/>
      <c r="C249" s="180"/>
    </row>
    <row r="250" spans="2:3" s="179" customFormat="1" ht="11.25">
      <c r="B250" s="180"/>
      <c r="C250" s="180"/>
    </row>
    <row r="251" spans="2:3" s="179" customFormat="1" ht="11.25">
      <c r="B251" s="180"/>
      <c r="C251" s="180"/>
    </row>
    <row r="252" spans="2:3" s="179" customFormat="1" ht="11.25">
      <c r="B252" s="180"/>
      <c r="C252" s="180"/>
    </row>
    <row r="253" spans="2:3" s="179" customFormat="1" ht="11.25">
      <c r="B253" s="180"/>
      <c r="C253" s="180"/>
    </row>
    <row r="254" spans="2:3" s="179" customFormat="1" ht="11.25">
      <c r="B254" s="180"/>
      <c r="C254" s="180"/>
    </row>
    <row r="255" spans="2:3" s="179" customFormat="1" ht="11.25">
      <c r="B255" s="180"/>
      <c r="C255" s="180"/>
    </row>
    <row r="256" spans="2:3" s="179" customFormat="1" ht="11.25">
      <c r="B256" s="180"/>
      <c r="C256" s="180"/>
    </row>
    <row r="257" spans="2:3" s="179" customFormat="1" ht="11.25">
      <c r="B257" s="180"/>
      <c r="C257" s="180"/>
    </row>
    <row r="258" spans="2:3" s="179" customFormat="1" ht="11.25">
      <c r="B258" s="180"/>
      <c r="C258" s="180"/>
    </row>
    <row r="259" spans="2:3" s="179" customFormat="1" ht="11.25">
      <c r="B259" s="180"/>
      <c r="C259" s="180"/>
    </row>
    <row r="260" spans="2:3" s="179" customFormat="1" ht="11.25">
      <c r="B260" s="180"/>
      <c r="C260" s="180"/>
    </row>
    <row r="261" spans="2:3" s="179" customFormat="1" ht="11.25">
      <c r="B261" s="180"/>
      <c r="C261" s="180"/>
    </row>
    <row r="262" spans="2:3" s="179" customFormat="1" ht="11.25">
      <c r="B262" s="180"/>
      <c r="C262" s="180"/>
    </row>
    <row r="263" spans="2:3" s="179" customFormat="1" ht="11.25">
      <c r="B263" s="180"/>
      <c r="C263" s="180"/>
    </row>
    <row r="264" spans="2:3" s="179" customFormat="1" ht="11.25">
      <c r="B264" s="180"/>
      <c r="C264" s="180"/>
    </row>
    <row r="265" spans="2:3" s="179" customFormat="1" ht="11.25">
      <c r="B265" s="180"/>
      <c r="C265" s="180"/>
    </row>
    <row r="266" spans="2:3" s="179" customFormat="1" ht="11.25">
      <c r="B266" s="180"/>
      <c r="C266" s="180"/>
    </row>
    <row r="267" spans="2:3" s="179" customFormat="1" ht="11.25">
      <c r="B267" s="180"/>
      <c r="C267" s="180"/>
    </row>
    <row r="268" spans="2:3" s="179" customFormat="1" ht="11.25">
      <c r="B268" s="180"/>
      <c r="C268" s="180"/>
    </row>
    <row r="269" spans="2:3" s="179" customFormat="1" ht="11.25">
      <c r="B269" s="180"/>
      <c r="C269" s="180"/>
    </row>
    <row r="270" spans="2:3" s="179" customFormat="1" ht="11.25">
      <c r="B270" s="180"/>
      <c r="C270" s="180"/>
    </row>
    <row r="271" spans="2:3" s="179" customFormat="1" ht="11.25">
      <c r="B271" s="180"/>
      <c r="C271" s="180"/>
    </row>
    <row r="272" spans="2:3" s="179" customFormat="1" ht="11.25">
      <c r="B272" s="180"/>
      <c r="C272" s="180"/>
    </row>
    <row r="273" spans="2:3" s="179" customFormat="1" ht="11.25">
      <c r="B273" s="180"/>
      <c r="C273" s="180"/>
    </row>
    <row r="274" spans="2:3" s="179" customFormat="1" ht="11.25">
      <c r="B274" s="180"/>
      <c r="C274" s="180"/>
    </row>
    <row r="275" spans="2:3" s="179" customFormat="1" ht="11.25">
      <c r="B275" s="180"/>
      <c r="C275" s="180"/>
    </row>
    <row r="276" spans="2:3" s="179" customFormat="1" ht="11.25">
      <c r="B276" s="180"/>
      <c r="C276" s="180"/>
    </row>
    <row r="277" spans="2:3" s="179" customFormat="1" ht="11.25">
      <c r="B277" s="180"/>
      <c r="C277" s="180"/>
    </row>
    <row r="278" spans="2:3" s="179" customFormat="1" ht="11.25">
      <c r="B278" s="180"/>
      <c r="C278" s="180"/>
    </row>
    <row r="279" spans="2:3" s="179" customFormat="1" ht="11.25">
      <c r="B279" s="180"/>
      <c r="C279" s="180"/>
    </row>
    <row r="280" spans="2:3" s="179" customFormat="1" ht="11.25">
      <c r="B280" s="180"/>
      <c r="C280" s="180"/>
    </row>
    <row r="281" spans="2:3" s="179" customFormat="1" ht="11.25">
      <c r="B281" s="180"/>
      <c r="C281" s="180"/>
    </row>
    <row r="282" spans="2:3" s="179" customFormat="1" ht="11.25">
      <c r="B282" s="180"/>
      <c r="C282" s="180"/>
    </row>
    <row r="283" spans="2:3" s="179" customFormat="1" ht="11.25">
      <c r="B283" s="180"/>
      <c r="C283" s="180"/>
    </row>
    <row r="284" spans="2:3" s="179" customFormat="1" ht="11.25">
      <c r="B284" s="180"/>
      <c r="C284" s="180"/>
    </row>
    <row r="285" spans="2:3" s="179" customFormat="1" ht="11.25">
      <c r="B285" s="180"/>
      <c r="C285" s="180"/>
    </row>
    <row r="286" spans="2:3" s="179" customFormat="1" ht="11.25">
      <c r="B286" s="180"/>
      <c r="C286" s="180"/>
    </row>
    <row r="287" spans="2:3" s="179" customFormat="1" ht="11.25">
      <c r="B287" s="180"/>
      <c r="C287" s="180"/>
    </row>
    <row r="288" spans="2:3" s="179" customFormat="1" ht="11.25">
      <c r="B288" s="180"/>
      <c r="C288" s="180"/>
    </row>
    <row r="289" spans="2:3" s="179" customFormat="1" ht="11.25">
      <c r="B289" s="180"/>
      <c r="C289" s="180"/>
    </row>
    <row r="290" spans="2:3" s="179" customFormat="1" ht="11.25">
      <c r="B290" s="180"/>
      <c r="C290" s="180"/>
    </row>
    <row r="291" spans="2:3" s="179" customFormat="1" ht="11.25">
      <c r="B291" s="180"/>
      <c r="C291" s="180"/>
    </row>
    <row r="292" spans="2:3" s="179" customFormat="1" ht="11.25">
      <c r="B292" s="180"/>
      <c r="C292" s="180"/>
    </row>
    <row r="293" spans="2:3" s="179" customFormat="1" ht="11.25">
      <c r="B293" s="180"/>
      <c r="C293" s="180"/>
    </row>
    <row r="294" spans="2:3" s="179" customFormat="1" ht="11.25">
      <c r="B294" s="180"/>
      <c r="C294" s="180"/>
    </row>
    <row r="295" spans="2:3" s="179" customFormat="1" ht="11.25">
      <c r="B295" s="180"/>
      <c r="C295" s="180"/>
    </row>
    <row r="296" spans="2:3" s="179" customFormat="1" ht="11.25">
      <c r="B296" s="180"/>
      <c r="C296" s="180"/>
    </row>
    <row r="297" spans="2:3" s="179" customFormat="1" ht="11.25">
      <c r="B297" s="180"/>
      <c r="C297" s="180"/>
    </row>
    <row r="298" spans="2:3" s="179" customFormat="1" ht="11.25">
      <c r="B298" s="180"/>
      <c r="C298" s="180"/>
    </row>
    <row r="299" spans="2:3" s="179" customFormat="1" ht="11.25">
      <c r="B299" s="180"/>
      <c r="C299" s="180"/>
    </row>
    <row r="300" spans="2:3" s="179" customFormat="1" ht="11.25">
      <c r="B300" s="180"/>
      <c r="C300" s="180"/>
    </row>
    <row r="301" spans="2:3" s="179" customFormat="1" ht="11.25">
      <c r="B301" s="180"/>
      <c r="C301" s="180"/>
    </row>
    <row r="302" spans="2:3" s="179" customFormat="1" ht="11.25">
      <c r="B302" s="180"/>
      <c r="C302" s="180"/>
    </row>
    <row r="303" spans="2:3" s="179" customFormat="1" ht="11.25">
      <c r="B303" s="180"/>
      <c r="C303" s="180"/>
    </row>
    <row r="304" spans="2:3" s="179" customFormat="1" ht="11.25">
      <c r="B304" s="180"/>
      <c r="C304" s="180"/>
    </row>
    <row r="305" spans="2:3" s="179" customFormat="1" ht="11.25">
      <c r="B305" s="180"/>
      <c r="C305" s="180"/>
    </row>
    <row r="306" spans="2:3" s="179" customFormat="1" ht="11.25">
      <c r="B306" s="180"/>
      <c r="C306" s="180"/>
    </row>
    <row r="307" spans="2:3" s="179" customFormat="1" ht="11.25">
      <c r="B307" s="180"/>
      <c r="C307" s="180"/>
    </row>
    <row r="308" spans="2:3" s="179" customFormat="1" ht="11.25">
      <c r="B308" s="180"/>
      <c r="C308" s="180"/>
    </row>
    <row r="309" spans="2:3" s="179" customFormat="1" ht="11.25">
      <c r="B309" s="180"/>
      <c r="C309" s="180"/>
    </row>
    <row r="310" spans="2:3" s="179" customFormat="1" ht="11.25">
      <c r="B310" s="180"/>
      <c r="C310" s="180"/>
    </row>
    <row r="311" spans="2:3" s="179" customFormat="1" ht="11.25">
      <c r="B311" s="180"/>
      <c r="C311" s="180"/>
    </row>
    <row r="312" spans="2:3" s="179" customFormat="1" ht="11.25">
      <c r="B312" s="180"/>
      <c r="C312" s="180"/>
    </row>
    <row r="313" spans="2:3" s="179" customFormat="1" ht="11.25">
      <c r="B313" s="180"/>
      <c r="C313" s="180"/>
    </row>
    <row r="314" spans="2:3" s="179" customFormat="1" ht="11.25">
      <c r="B314" s="180"/>
      <c r="C314" s="180"/>
    </row>
    <row r="315" spans="2:3" s="179" customFormat="1" ht="11.25">
      <c r="B315" s="180"/>
      <c r="C315" s="180"/>
    </row>
    <row r="316" spans="2:3" s="179" customFormat="1" ht="11.25">
      <c r="B316" s="180"/>
      <c r="C316" s="180"/>
    </row>
    <row r="317" spans="2:3" s="179" customFormat="1" ht="11.25">
      <c r="B317" s="180"/>
      <c r="C317" s="180"/>
    </row>
    <row r="318" spans="2:3" s="179" customFormat="1" ht="11.25">
      <c r="B318" s="180"/>
      <c r="C318" s="180"/>
    </row>
    <row r="319" spans="2:3" s="179" customFormat="1" ht="11.25">
      <c r="B319" s="180"/>
      <c r="C319" s="180"/>
    </row>
    <row r="320" spans="2:3" s="179" customFormat="1" ht="11.25">
      <c r="B320" s="180"/>
      <c r="C320" s="180"/>
    </row>
    <row r="321" spans="2:3" s="179" customFormat="1" ht="11.25">
      <c r="B321" s="180"/>
      <c r="C321" s="180"/>
    </row>
    <row r="322" spans="2:3" s="179" customFormat="1" ht="11.25">
      <c r="B322" s="180"/>
      <c r="C322" s="180"/>
    </row>
    <row r="323" spans="2:3" s="179" customFormat="1" ht="11.25">
      <c r="B323" s="180"/>
      <c r="C323" s="180"/>
    </row>
    <row r="324" spans="2:3" s="179" customFormat="1" ht="11.25">
      <c r="B324" s="180"/>
      <c r="C324" s="180"/>
    </row>
    <row r="325" spans="2:3" s="179" customFormat="1" ht="11.25">
      <c r="B325" s="180"/>
      <c r="C325" s="180"/>
    </row>
    <row r="326" spans="2:3" s="179" customFormat="1" ht="11.25">
      <c r="B326" s="180"/>
      <c r="C326" s="180"/>
    </row>
    <row r="327" spans="2:3" s="179" customFormat="1" ht="11.25">
      <c r="B327" s="180"/>
      <c r="C327" s="180"/>
    </row>
    <row r="328" spans="2:3" s="179" customFormat="1" ht="11.25">
      <c r="B328" s="180"/>
      <c r="C328" s="180"/>
    </row>
    <row r="329" spans="2:3" s="179" customFormat="1" ht="11.25">
      <c r="B329" s="180"/>
      <c r="C329" s="180"/>
    </row>
    <row r="330" spans="2:3" s="179" customFormat="1" ht="11.25">
      <c r="B330" s="180"/>
      <c r="C330" s="180"/>
    </row>
    <row r="331" spans="2:3" s="179" customFormat="1" ht="11.25">
      <c r="B331" s="180"/>
      <c r="C331" s="180"/>
    </row>
    <row r="332" spans="2:3" s="179" customFormat="1" ht="11.25">
      <c r="B332" s="180"/>
      <c r="C332" s="180"/>
    </row>
    <row r="333" spans="2:3" s="179" customFormat="1" ht="11.25">
      <c r="B333" s="180"/>
      <c r="C333" s="180"/>
    </row>
    <row r="334" spans="2:3" s="179" customFormat="1" ht="11.25">
      <c r="B334" s="180"/>
      <c r="C334" s="180"/>
    </row>
    <row r="335" spans="2:3" s="179" customFormat="1" ht="11.25">
      <c r="B335" s="180"/>
      <c r="C335" s="180"/>
    </row>
    <row r="336" spans="2:3" s="179" customFormat="1" ht="11.25">
      <c r="B336" s="180"/>
      <c r="C336" s="180"/>
    </row>
    <row r="337" spans="2:3" s="179" customFormat="1" ht="11.25">
      <c r="B337" s="180"/>
      <c r="C337" s="180"/>
    </row>
    <row r="338" spans="2:3" s="179" customFormat="1" ht="11.25">
      <c r="B338" s="180"/>
      <c r="C338" s="180"/>
    </row>
    <row r="339" spans="2:3" s="179" customFormat="1" ht="11.25">
      <c r="B339" s="180"/>
      <c r="C339" s="180"/>
    </row>
    <row r="340" spans="2:3" s="179" customFormat="1" ht="11.25">
      <c r="B340" s="180"/>
      <c r="C340" s="180"/>
    </row>
    <row r="341" spans="2:3" s="179" customFormat="1" ht="11.25">
      <c r="B341" s="180"/>
      <c r="C341" s="180"/>
    </row>
    <row r="342" spans="2:3" s="179" customFormat="1" ht="11.25">
      <c r="B342" s="180"/>
      <c r="C342" s="180"/>
    </row>
    <row r="343" spans="2:3" s="179" customFormat="1" ht="11.25">
      <c r="B343" s="180"/>
      <c r="C343" s="180"/>
    </row>
    <row r="344" spans="2:3" s="179" customFormat="1" ht="11.25">
      <c r="B344" s="180"/>
      <c r="C344" s="180"/>
    </row>
    <row r="345" spans="2:3" s="179" customFormat="1" ht="11.25">
      <c r="B345" s="180"/>
      <c r="C345" s="180"/>
    </row>
    <row r="346" spans="2:3" s="179" customFormat="1" ht="11.25">
      <c r="B346" s="180"/>
      <c r="C346" s="180"/>
    </row>
    <row r="347" spans="2:3" s="179" customFormat="1" ht="11.25">
      <c r="B347" s="180"/>
      <c r="C347" s="180"/>
    </row>
    <row r="348" spans="2:3" s="179" customFormat="1" ht="11.25">
      <c r="B348" s="180"/>
      <c r="C348" s="180"/>
    </row>
    <row r="349" spans="2:3" s="179" customFormat="1" ht="11.25">
      <c r="B349" s="180"/>
      <c r="C349" s="180"/>
    </row>
    <row r="350" spans="2:3" s="179" customFormat="1" ht="11.25">
      <c r="B350" s="180"/>
      <c r="C350" s="180"/>
    </row>
    <row r="351" spans="2:3" s="179" customFormat="1" ht="11.25">
      <c r="B351" s="180"/>
      <c r="C351" s="180"/>
    </row>
    <row r="352" spans="2:3" s="179" customFormat="1" ht="11.25">
      <c r="B352" s="180"/>
      <c r="C352" s="180"/>
    </row>
    <row r="353" spans="2:3" s="179" customFormat="1" ht="11.25">
      <c r="B353" s="180"/>
      <c r="C353" s="180"/>
    </row>
    <row r="354" spans="2:3" s="179" customFormat="1" ht="11.25">
      <c r="B354" s="180"/>
      <c r="C354" s="180"/>
    </row>
    <row r="355" spans="2:3" s="179" customFormat="1" ht="11.25">
      <c r="B355" s="180"/>
      <c r="C355" s="180"/>
    </row>
    <row r="356" spans="2:3" s="179" customFormat="1" ht="11.25">
      <c r="B356" s="180"/>
      <c r="C356" s="180"/>
    </row>
    <row r="357" spans="2:3" s="179" customFormat="1" ht="11.25">
      <c r="B357" s="180"/>
      <c r="C357" s="180"/>
    </row>
    <row r="358" spans="2:3" s="179" customFormat="1" ht="11.25">
      <c r="B358" s="180"/>
      <c r="C358" s="180"/>
    </row>
    <row r="359" spans="2:3" s="179" customFormat="1" ht="11.25">
      <c r="B359" s="180"/>
      <c r="C359" s="180"/>
    </row>
    <row r="360" spans="2:3" s="179" customFormat="1" ht="11.25">
      <c r="B360" s="180"/>
      <c r="C360" s="180"/>
    </row>
    <row r="361" spans="2:3" s="179" customFormat="1" ht="11.25">
      <c r="B361" s="180"/>
      <c r="C361" s="180"/>
    </row>
    <row r="362" spans="2:3" s="179" customFormat="1" ht="11.25">
      <c r="B362" s="180"/>
      <c r="C362" s="180"/>
    </row>
    <row r="363" spans="2:3" s="179" customFormat="1" ht="11.25">
      <c r="B363" s="180"/>
      <c r="C363" s="180"/>
    </row>
    <row r="364" spans="2:3" s="179" customFormat="1" ht="11.25">
      <c r="B364" s="180"/>
      <c r="C364" s="180"/>
    </row>
    <row r="365" spans="2:3" s="179" customFormat="1" ht="11.25">
      <c r="B365" s="180"/>
      <c r="C365" s="180"/>
    </row>
    <row r="366" spans="2:3" s="179" customFormat="1" ht="11.25">
      <c r="B366" s="180"/>
      <c r="C366" s="180"/>
    </row>
    <row r="367" spans="2:3" s="179" customFormat="1" ht="11.25">
      <c r="B367" s="180"/>
      <c r="C367" s="180"/>
    </row>
    <row r="368" spans="2:3" s="179" customFormat="1" ht="11.25">
      <c r="B368" s="180"/>
      <c r="C368" s="180"/>
    </row>
    <row r="369" spans="2:3" s="179" customFormat="1" ht="11.25">
      <c r="B369" s="180"/>
      <c r="C369" s="180"/>
    </row>
    <row r="370" spans="2:3" s="179" customFormat="1" ht="11.25">
      <c r="B370" s="180"/>
      <c r="C370" s="180"/>
    </row>
    <row r="371" spans="2:3" s="179" customFormat="1" ht="11.25">
      <c r="B371" s="180"/>
      <c r="C371" s="180"/>
    </row>
    <row r="372" spans="2:3" s="179" customFormat="1" ht="11.25">
      <c r="B372" s="180"/>
      <c r="C372" s="180"/>
    </row>
    <row r="373" spans="2:3" s="179" customFormat="1" ht="11.25">
      <c r="B373" s="180"/>
      <c r="C373" s="180"/>
    </row>
    <row r="374" spans="2:3" s="179" customFormat="1" ht="11.25">
      <c r="B374" s="180"/>
      <c r="C374" s="180"/>
    </row>
    <row r="375" spans="2:3" s="179" customFormat="1" ht="11.25">
      <c r="B375" s="180"/>
      <c r="C375" s="180"/>
    </row>
    <row r="376" spans="2:3" s="179" customFormat="1" ht="11.25">
      <c r="B376" s="180"/>
      <c r="C376" s="180"/>
    </row>
    <row r="377" spans="2:3" s="179" customFormat="1" ht="11.25">
      <c r="B377" s="180"/>
      <c r="C377" s="180"/>
    </row>
    <row r="378" spans="2:3" s="179" customFormat="1" ht="11.25">
      <c r="B378" s="180"/>
      <c r="C378" s="180"/>
    </row>
    <row r="379" spans="2:3" s="179" customFormat="1" ht="11.25">
      <c r="B379" s="180"/>
      <c r="C379" s="180"/>
    </row>
    <row r="380" spans="2:3" s="179" customFormat="1" ht="11.25">
      <c r="B380" s="180"/>
      <c r="C380" s="180"/>
    </row>
    <row r="381" spans="2:3" s="179" customFormat="1" ht="11.25">
      <c r="B381" s="180"/>
      <c r="C381" s="180"/>
    </row>
    <row r="382" spans="2:3" s="179" customFormat="1" ht="11.25">
      <c r="B382" s="180"/>
      <c r="C382" s="180"/>
    </row>
  </sheetData>
  <sheetProtection formatColumns="0" formatRows="0"/>
  <mergeCells count="5">
    <mergeCell ref="A2:I2"/>
    <mergeCell ref="A47:A64"/>
    <mergeCell ref="B47:B52"/>
    <mergeCell ref="B53:B58"/>
    <mergeCell ref="B59:B64"/>
  </mergeCells>
  <dataValidations count="24">
    <dataValidation type="decimal" allowBlank="1" showInputMessage="1" showErrorMessage="1" error="Ввведеное значение неверно" sqref="E8:E10">
      <formula1>-1000000000000000</formula1>
      <formula2>1000000000000000</formula2>
    </dataValidation>
    <dataValidation type="decimal" allowBlank="1" showInputMessage="1" showErrorMessage="1" error="Ввведеное значение неверно" sqref="F8:F10">
      <formula1>-1000000000000000</formula1>
      <formula2>1000000000000000</formula2>
    </dataValidation>
    <dataValidation type="decimal" allowBlank="1" showInputMessage="1" showErrorMessage="1" error="Ввведеное значение неверно" sqref="G8">
      <formula1>-1000000000000000</formula1>
      <formula2>1000000000000000</formula2>
    </dataValidation>
    <dataValidation type="decimal" allowBlank="1" showInputMessage="1" showErrorMessage="1" error="Ввведеное значение неверно" sqref="H8:H10">
      <formula1>-1000000000000000</formula1>
      <formula2>1000000000000000</formula2>
    </dataValidation>
    <dataValidation type="decimal" allowBlank="1" showInputMessage="1" showErrorMessage="1" error="Ввведеное значение неверно" sqref="I8">
      <formula1>-1000000000000000</formula1>
      <formula2>1000000000000000</formula2>
    </dataValidation>
    <dataValidation type="decimal" allowBlank="1" showInputMessage="1" showErrorMessage="1" error="Ввведеное значение неверно" sqref="G9">
      <formula1>-1000000000000000</formula1>
      <formula2>1000000000000000</formula2>
    </dataValidation>
    <dataValidation type="decimal" allowBlank="1" showInputMessage="1" showErrorMessage="1" error="Ввведеное значение неверно" sqref="I9">
      <formula1>-1000000000000000</formula1>
      <formula2>1000000000000000</formula2>
    </dataValidation>
    <dataValidation type="decimal" allowBlank="1" showInputMessage="1" showErrorMessage="1" error="Ввведеное значение неверно" sqref="G10">
      <formula1>-1000000000000000</formula1>
      <formula2>1000000000000000</formula2>
    </dataValidation>
    <dataValidation type="decimal" allowBlank="1" showInputMessage="1" showErrorMessage="1" error="Ввведеное значение неверно" sqref="I10">
      <formula1>-1000000000000000</formula1>
      <formula2>1000000000000000</formula2>
    </dataValidation>
    <dataValidation type="decimal" allowBlank="1" showInputMessage="1" showErrorMessage="1" error="Ввведеное значение неверно" sqref="E20">
      <formula1>-1000000000000000</formula1>
      <formula2>1000000000000000</formula2>
    </dataValidation>
    <dataValidation type="decimal" allowBlank="1" showInputMessage="1" showErrorMessage="1" error="Ввведеное значение неверно" sqref="F20">
      <formula1>-1000000000000000</formula1>
      <formula2>1000000000000000</formula2>
    </dataValidation>
    <dataValidation type="decimal" allowBlank="1" showInputMessage="1" showErrorMessage="1" error="Ввведеное значение неверно" sqref="G20">
      <formula1>-1000000000000000</formula1>
      <formula2>1000000000000000</formula2>
    </dataValidation>
    <dataValidation type="decimal" allowBlank="1" showInputMessage="1" showErrorMessage="1" error="Ввведеное значение неверно" sqref="H20">
      <formula1>-1000000000000000</formula1>
      <formula2>1000000000000000</formula2>
    </dataValidation>
    <dataValidation type="decimal" allowBlank="1" showInputMessage="1" showErrorMessage="1" error="Ввведеное значение неверно" sqref="I20">
      <formula1>-1000000000000000</formula1>
      <formula2>1000000000000000</formula2>
    </dataValidation>
    <dataValidation type="decimal" allowBlank="1" showInputMessage="1" showErrorMessage="1" error="Ввведеное значение неверно" sqref="E34">
      <formula1>-1000000000000000</formula1>
      <formula2>1000000000000000</formula2>
    </dataValidation>
    <dataValidation type="decimal" allowBlank="1" showInputMessage="1" showErrorMessage="1" error="Ввведеное значение неверно" sqref="F34">
      <formula1>-1000000000000000</formula1>
      <formula2>1000000000000000</formula2>
    </dataValidation>
    <dataValidation type="decimal" allowBlank="1" showInputMessage="1" showErrorMessage="1" error="Ввведеное значение неверно" sqref="G34">
      <formula1>-1000000000000000</formula1>
      <formula2>1000000000000000</formula2>
    </dataValidation>
    <dataValidation type="decimal" allowBlank="1" showInputMessage="1" showErrorMessage="1" error="Ввведеное значение неверно" sqref="H34">
      <formula1>-1000000000000000</formula1>
      <formula2>1000000000000000</formula2>
    </dataValidation>
    <dataValidation type="decimal" allowBlank="1" showInputMessage="1" showErrorMessage="1" error="Ввведеное значение неверно" sqref="I34">
      <formula1>-1000000000000000</formula1>
      <formula2>1000000000000000</formula2>
    </dataValidation>
    <dataValidation type="decimal" allowBlank="1" showInputMessage="1" showErrorMessage="1" error="Ввведеное значение неверно" sqref="E41">
      <formula1>-1000000000000000</formula1>
      <formula2>1000000000000000</formula2>
    </dataValidation>
    <dataValidation type="decimal" allowBlank="1" showInputMessage="1" showErrorMessage="1" error="Ввведеное значение неверно" sqref="F41">
      <formula1>-1000000000000000</formula1>
      <formula2>1000000000000000</formula2>
    </dataValidation>
    <dataValidation type="decimal" allowBlank="1" showInputMessage="1" showErrorMessage="1" error="Ввведеное значение неверно" sqref="G41">
      <formula1>-1000000000000000</formula1>
      <formula2>1000000000000000</formula2>
    </dataValidation>
    <dataValidation type="decimal" allowBlank="1" showInputMessage="1" showErrorMessage="1" error="Ввведеное значение неверно" sqref="H41">
      <formula1>-1000000000000000</formula1>
      <formula2>1000000000000000</formula2>
    </dataValidation>
    <dataValidation type="decimal" allowBlank="1" showInputMessage="1" showErrorMessage="1" error="Ввведеное значение неверно" sqref="I41">
      <formula1>-1000000000000000</formula1>
      <formula2>1000000000000000</formula2>
    </dataValidation>
  </dataValidations>
  <printOptions/>
  <pageMargins left="0.6299212598425197" right="0.15748031496062992" top="0.35433070866141736" bottom="0.35433070866141736" header="0.2362204724409449" footer="0.2362204724409449"/>
  <pageSetup horizontalDpi="600" verticalDpi="600" orientation="portrait" paperSize="9" scale="8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1"/>
  <dimension ref="A1:S103"/>
  <sheetViews>
    <sheetView zoomScalePageLayoutView="0" workbookViewId="0" topLeftCell="A2">
      <selection activeCell="A48" sqref="A48:H50"/>
    </sheetView>
  </sheetViews>
  <sheetFormatPr defaultColWidth="9.140625" defaultRowHeight="11.25"/>
  <cols>
    <col min="2" max="2" width="14.00390625" style="0" customWidth="1"/>
    <col min="3" max="4" width="14.00390625" style="14" hidden="1" customWidth="1"/>
    <col min="5" max="5" width="11.28125" style="0" customWidth="1"/>
    <col min="6" max="6" width="20.8515625" style="0" customWidth="1"/>
    <col min="7" max="7" width="32.8515625" style="0" hidden="1" customWidth="1"/>
    <col min="8" max="8" width="13.7109375" style="0" customWidth="1"/>
    <col min="9" max="9" width="16.421875" style="0" customWidth="1"/>
    <col min="10" max="10" width="16.28125" style="149" customWidth="1"/>
    <col min="12" max="12" width="10.57421875" style="0" bestFit="1" customWidth="1"/>
    <col min="19" max="19" width="19.00390625" style="0" customWidth="1"/>
  </cols>
  <sheetData>
    <row r="1" spans="1:10" ht="12.75" hidden="1">
      <c r="A1" s="34" t="str">
        <f>Справочники!E13</f>
        <v>Мурманская область</v>
      </c>
      <c r="B1" s="241" t="str">
        <f>Справочники!D21</f>
        <v>МУП "Кировская горэлектросеть"</v>
      </c>
      <c r="J1" s="181" t="s">
        <v>453</v>
      </c>
    </row>
    <row r="2" spans="1:10" ht="63" customHeight="1">
      <c r="A2" s="884" t="s">
        <v>454</v>
      </c>
      <c r="B2" s="884"/>
      <c r="C2" s="884"/>
      <c r="D2" s="884"/>
      <c r="E2" s="884"/>
      <c r="F2" s="884"/>
      <c r="G2" s="884"/>
      <c r="H2" s="884"/>
      <c r="I2" s="884"/>
      <c r="J2" s="884"/>
    </row>
    <row r="3" ht="12" thickBot="1"/>
    <row r="4" spans="1:19" ht="56.25">
      <c r="A4" s="825" t="s">
        <v>402</v>
      </c>
      <c r="B4" s="773" t="s">
        <v>455</v>
      </c>
      <c r="C4" s="225"/>
      <c r="D4" s="225"/>
      <c r="E4" s="773" t="s">
        <v>456</v>
      </c>
      <c r="F4" s="773" t="s">
        <v>457</v>
      </c>
      <c r="G4" s="36"/>
      <c r="H4" s="36" t="s">
        <v>458</v>
      </c>
      <c r="I4" s="36" t="s">
        <v>459</v>
      </c>
      <c r="J4" s="37" t="s">
        <v>460</v>
      </c>
      <c r="L4" s="882" t="s">
        <v>1152</v>
      </c>
      <c r="M4" s="882"/>
      <c r="N4" s="882"/>
      <c r="O4" s="882"/>
      <c r="P4" s="882"/>
      <c r="Q4" s="882"/>
      <c r="R4" s="882"/>
      <c r="S4" s="882"/>
    </row>
    <row r="5" spans="1:19" ht="15">
      <c r="A5" s="826"/>
      <c r="B5" s="774"/>
      <c r="C5" s="226"/>
      <c r="D5" s="226"/>
      <c r="E5" s="774"/>
      <c r="F5" s="774"/>
      <c r="G5" s="4"/>
      <c r="H5" s="4" t="s">
        <v>461</v>
      </c>
      <c r="I5" s="4" t="s">
        <v>462</v>
      </c>
      <c r="J5" s="8" t="s">
        <v>463</v>
      </c>
      <c r="L5" s="882" t="s">
        <v>1147</v>
      </c>
      <c r="M5" s="882"/>
      <c r="N5" s="882"/>
      <c r="O5" s="882"/>
      <c r="P5" s="882"/>
      <c r="Q5" s="882"/>
      <c r="R5" s="882"/>
      <c r="S5" s="882"/>
    </row>
    <row r="6" spans="1:19" ht="15">
      <c r="A6" s="237"/>
      <c r="B6" s="4"/>
      <c r="C6" s="226"/>
      <c r="D6" s="226"/>
      <c r="E6" s="4"/>
      <c r="F6" s="4"/>
      <c r="G6" s="4"/>
      <c r="H6" s="254" t="s">
        <v>38</v>
      </c>
      <c r="I6" s="254" t="s">
        <v>71</v>
      </c>
      <c r="J6" s="298" t="s">
        <v>77</v>
      </c>
      <c r="L6" s="882" t="s">
        <v>1163</v>
      </c>
      <c r="M6" s="882"/>
      <c r="N6" s="882"/>
      <c r="O6" s="882"/>
      <c r="P6" s="882"/>
      <c r="Q6" s="882"/>
      <c r="R6" s="882"/>
      <c r="S6" s="882"/>
    </row>
    <row r="7" spans="1:19" ht="15">
      <c r="A7" s="9">
        <v>1</v>
      </c>
      <c r="B7" s="4">
        <f>+A7+1</f>
        <v>2</v>
      </c>
      <c r="C7" s="226"/>
      <c r="D7" s="226"/>
      <c r="E7" s="4">
        <f>+B7+1</f>
        <v>3</v>
      </c>
      <c r="F7" s="4">
        <f>+E7+1</f>
        <v>4</v>
      </c>
      <c r="G7" s="4"/>
      <c r="H7" s="4">
        <f>+F7+1</f>
        <v>5</v>
      </c>
      <c r="I7" s="4">
        <f>+H7+1</f>
        <v>6</v>
      </c>
      <c r="J7" s="8" t="s">
        <v>464</v>
      </c>
      <c r="L7" s="882" t="s">
        <v>1148</v>
      </c>
      <c r="M7" s="882"/>
      <c r="N7" s="882"/>
      <c r="O7" s="882"/>
      <c r="P7" s="882"/>
      <c r="Q7" s="882"/>
      <c r="R7" s="882"/>
      <c r="S7" s="882"/>
    </row>
    <row r="8" spans="1:19" ht="15">
      <c r="A8" s="885" t="s">
        <v>403</v>
      </c>
      <c r="B8" s="57">
        <v>1150</v>
      </c>
      <c r="C8" s="303">
        <v>1150</v>
      </c>
      <c r="D8" s="303" t="s">
        <v>886</v>
      </c>
      <c r="E8" s="57" t="s">
        <v>465</v>
      </c>
      <c r="F8" s="57" t="s">
        <v>466</v>
      </c>
      <c r="G8" s="304" t="s">
        <v>467</v>
      </c>
      <c r="H8" s="424">
        <v>800</v>
      </c>
      <c r="I8" s="424"/>
      <c r="J8" s="56">
        <f aca="true" t="shared" si="0" ref="J8:J27">H8*I8/100</f>
        <v>0</v>
      </c>
      <c r="L8" s="882" t="s">
        <v>1149</v>
      </c>
      <c r="M8" s="882"/>
      <c r="N8" s="882"/>
      <c r="O8" s="882"/>
      <c r="P8" s="882"/>
      <c r="Q8" s="882"/>
      <c r="R8" s="882"/>
      <c r="S8" s="882"/>
    </row>
    <row r="9" spans="1:19" ht="29.25" customHeight="1">
      <c r="A9" s="885"/>
      <c r="B9" s="57">
        <v>750</v>
      </c>
      <c r="C9" s="303">
        <v>750</v>
      </c>
      <c r="D9" s="303" t="s">
        <v>13</v>
      </c>
      <c r="E9" s="57">
        <v>1</v>
      </c>
      <c r="F9" s="57" t="s">
        <v>466</v>
      </c>
      <c r="G9" s="304" t="s">
        <v>468</v>
      </c>
      <c r="H9" s="424">
        <v>600</v>
      </c>
      <c r="I9" s="424"/>
      <c r="J9" s="56">
        <f t="shared" si="0"/>
        <v>0</v>
      </c>
      <c r="L9" s="882" t="s">
        <v>1150</v>
      </c>
      <c r="M9" s="882"/>
      <c r="N9" s="882"/>
      <c r="O9" s="882"/>
      <c r="P9" s="882"/>
      <c r="Q9" s="882"/>
      <c r="R9" s="882"/>
      <c r="S9" s="882"/>
    </row>
    <row r="10" spans="1:19" ht="15">
      <c r="A10" s="885"/>
      <c r="B10" s="883" t="s">
        <v>469</v>
      </c>
      <c r="C10" s="303" t="s">
        <v>881</v>
      </c>
      <c r="D10" s="303" t="s">
        <v>13</v>
      </c>
      <c r="E10" s="883">
        <v>1</v>
      </c>
      <c r="F10" s="57" t="s">
        <v>466</v>
      </c>
      <c r="G10" s="304" t="s">
        <v>470</v>
      </c>
      <c r="H10" s="424">
        <v>400</v>
      </c>
      <c r="I10" s="424"/>
      <c r="J10" s="56">
        <f t="shared" si="0"/>
        <v>0</v>
      </c>
      <c r="L10" s="882" t="s">
        <v>1151</v>
      </c>
      <c r="M10" s="882"/>
      <c r="N10" s="882"/>
      <c r="O10" s="882"/>
      <c r="P10" s="882"/>
      <c r="Q10" s="882"/>
      <c r="R10" s="882"/>
      <c r="S10" s="882"/>
    </row>
    <row r="11" spans="1:10" ht="11.25">
      <c r="A11" s="885"/>
      <c r="B11" s="883"/>
      <c r="C11" s="303" t="s">
        <v>881</v>
      </c>
      <c r="D11" s="303" t="s">
        <v>13</v>
      </c>
      <c r="E11" s="883"/>
      <c r="F11" s="57" t="s">
        <v>471</v>
      </c>
      <c r="G11" s="304" t="s">
        <v>933</v>
      </c>
      <c r="H11" s="424">
        <v>300</v>
      </c>
      <c r="I11" s="424"/>
      <c r="J11" s="56">
        <f t="shared" si="0"/>
        <v>0</v>
      </c>
    </row>
    <row r="12" spans="1:10" ht="11.25">
      <c r="A12" s="885"/>
      <c r="B12" s="883">
        <v>330</v>
      </c>
      <c r="C12" s="303">
        <v>330</v>
      </c>
      <c r="D12" s="303" t="s">
        <v>13</v>
      </c>
      <c r="E12" s="883">
        <v>1</v>
      </c>
      <c r="F12" s="57" t="s">
        <v>466</v>
      </c>
      <c r="G12" s="304" t="s">
        <v>472</v>
      </c>
      <c r="H12" s="424">
        <v>230</v>
      </c>
      <c r="I12" s="424"/>
      <c r="J12" s="56">
        <f t="shared" si="0"/>
        <v>0</v>
      </c>
    </row>
    <row r="13" spans="1:10" ht="11.25">
      <c r="A13" s="885"/>
      <c r="B13" s="883"/>
      <c r="C13" s="303">
        <v>330</v>
      </c>
      <c r="D13" s="303" t="s">
        <v>13</v>
      </c>
      <c r="E13" s="883"/>
      <c r="F13" s="57" t="s">
        <v>471</v>
      </c>
      <c r="G13" s="304" t="s">
        <v>934</v>
      </c>
      <c r="H13" s="424">
        <v>170</v>
      </c>
      <c r="I13" s="424"/>
      <c r="J13" s="56">
        <f t="shared" si="0"/>
        <v>0</v>
      </c>
    </row>
    <row r="14" spans="1:10" ht="11.25">
      <c r="A14" s="885"/>
      <c r="B14" s="883"/>
      <c r="C14" s="303">
        <v>330</v>
      </c>
      <c r="D14" s="303" t="s">
        <v>150</v>
      </c>
      <c r="E14" s="883">
        <v>2</v>
      </c>
      <c r="F14" s="57" t="s">
        <v>466</v>
      </c>
      <c r="G14" s="304" t="s">
        <v>473</v>
      </c>
      <c r="H14" s="424">
        <v>290</v>
      </c>
      <c r="I14" s="424"/>
      <c r="J14" s="56">
        <f t="shared" si="0"/>
        <v>0</v>
      </c>
    </row>
    <row r="15" spans="1:10" ht="11.25">
      <c r="A15" s="885"/>
      <c r="B15" s="883"/>
      <c r="C15" s="303">
        <v>330</v>
      </c>
      <c r="D15" s="303" t="s">
        <v>150</v>
      </c>
      <c r="E15" s="883"/>
      <c r="F15" s="57" t="s">
        <v>471</v>
      </c>
      <c r="G15" s="304" t="s">
        <v>935</v>
      </c>
      <c r="H15" s="424">
        <v>210</v>
      </c>
      <c r="I15" s="424"/>
      <c r="J15" s="56">
        <f t="shared" si="0"/>
        <v>0</v>
      </c>
    </row>
    <row r="16" spans="1:10" ht="11.25">
      <c r="A16" s="885"/>
      <c r="B16" s="883">
        <v>220</v>
      </c>
      <c r="C16" s="303">
        <v>220</v>
      </c>
      <c r="D16" s="303" t="s">
        <v>13</v>
      </c>
      <c r="E16" s="883">
        <v>1</v>
      </c>
      <c r="F16" s="57" t="s">
        <v>474</v>
      </c>
      <c r="G16" s="304" t="s">
        <v>475</v>
      </c>
      <c r="H16" s="424">
        <v>260</v>
      </c>
      <c r="I16" s="424"/>
      <c r="J16" s="56">
        <f t="shared" si="0"/>
        <v>0</v>
      </c>
    </row>
    <row r="17" spans="1:10" ht="11.25">
      <c r="A17" s="885"/>
      <c r="B17" s="883"/>
      <c r="C17" s="303">
        <v>220</v>
      </c>
      <c r="D17" s="303" t="s">
        <v>13</v>
      </c>
      <c r="E17" s="883"/>
      <c r="F17" s="57" t="s">
        <v>466</v>
      </c>
      <c r="G17" s="304" t="s">
        <v>476</v>
      </c>
      <c r="H17" s="424">
        <v>210</v>
      </c>
      <c r="I17" s="424"/>
      <c r="J17" s="56">
        <f t="shared" si="0"/>
        <v>0</v>
      </c>
    </row>
    <row r="18" spans="1:10" ht="11.25">
      <c r="A18" s="885"/>
      <c r="B18" s="883"/>
      <c r="C18" s="303">
        <v>220</v>
      </c>
      <c r="D18" s="303" t="s">
        <v>13</v>
      </c>
      <c r="E18" s="883"/>
      <c r="F18" s="57" t="s">
        <v>471</v>
      </c>
      <c r="G18" s="304" t="s">
        <v>936</v>
      </c>
      <c r="H18" s="424">
        <v>140</v>
      </c>
      <c r="I18" s="424"/>
      <c r="J18" s="56">
        <f t="shared" si="0"/>
        <v>0</v>
      </c>
    </row>
    <row r="19" spans="1:10" ht="11.25">
      <c r="A19" s="885"/>
      <c r="B19" s="883"/>
      <c r="C19" s="303">
        <v>220</v>
      </c>
      <c r="D19" s="303" t="s">
        <v>150</v>
      </c>
      <c r="E19" s="883">
        <v>2</v>
      </c>
      <c r="F19" s="57" t="s">
        <v>466</v>
      </c>
      <c r="G19" s="304" t="s">
        <v>477</v>
      </c>
      <c r="H19" s="424">
        <v>270</v>
      </c>
      <c r="I19" s="424"/>
      <c r="J19" s="56">
        <f t="shared" si="0"/>
        <v>0</v>
      </c>
    </row>
    <row r="20" spans="1:10" ht="11.25">
      <c r="A20" s="885"/>
      <c r="B20" s="883"/>
      <c r="C20" s="303">
        <v>220</v>
      </c>
      <c r="D20" s="303" t="s">
        <v>150</v>
      </c>
      <c r="E20" s="883"/>
      <c r="F20" s="57" t="s">
        <v>471</v>
      </c>
      <c r="G20" s="304" t="s">
        <v>937</v>
      </c>
      <c r="H20" s="424">
        <v>180</v>
      </c>
      <c r="I20" s="424"/>
      <c r="J20" s="56">
        <f t="shared" si="0"/>
        <v>0</v>
      </c>
    </row>
    <row r="21" spans="1:10" ht="11.25">
      <c r="A21" s="885"/>
      <c r="B21" s="883" t="s">
        <v>478</v>
      </c>
      <c r="C21" s="303" t="s">
        <v>885</v>
      </c>
      <c r="D21" s="303" t="s">
        <v>13</v>
      </c>
      <c r="E21" s="883">
        <v>1</v>
      </c>
      <c r="F21" s="57" t="s">
        <v>474</v>
      </c>
      <c r="G21" s="304" t="s">
        <v>479</v>
      </c>
      <c r="H21" s="424">
        <v>180</v>
      </c>
      <c r="I21" s="424"/>
      <c r="J21" s="56">
        <f t="shared" si="0"/>
        <v>0</v>
      </c>
    </row>
    <row r="22" spans="1:10" ht="11.25">
      <c r="A22" s="885"/>
      <c r="B22" s="883"/>
      <c r="C22" s="303" t="s">
        <v>885</v>
      </c>
      <c r="D22" s="303" t="s">
        <v>13</v>
      </c>
      <c r="E22" s="883"/>
      <c r="F22" s="57" t="s">
        <v>466</v>
      </c>
      <c r="G22" s="304" t="s">
        <v>480</v>
      </c>
      <c r="H22" s="424">
        <v>160</v>
      </c>
      <c r="I22" s="424"/>
      <c r="J22" s="56">
        <f t="shared" si="0"/>
        <v>0</v>
      </c>
    </row>
    <row r="23" spans="1:10" ht="11.25">
      <c r="A23" s="885"/>
      <c r="B23" s="883"/>
      <c r="C23" s="303" t="s">
        <v>885</v>
      </c>
      <c r="D23" s="303" t="s">
        <v>13</v>
      </c>
      <c r="E23" s="883"/>
      <c r="F23" s="57" t="s">
        <v>471</v>
      </c>
      <c r="G23" s="304" t="s">
        <v>938</v>
      </c>
      <c r="H23" s="424">
        <v>130</v>
      </c>
      <c r="I23" s="424"/>
      <c r="J23" s="56">
        <f t="shared" si="0"/>
        <v>0</v>
      </c>
    </row>
    <row r="24" spans="1:10" ht="11.25">
      <c r="A24" s="885"/>
      <c r="B24" s="883"/>
      <c r="C24" s="303" t="s">
        <v>885</v>
      </c>
      <c r="D24" s="303" t="s">
        <v>150</v>
      </c>
      <c r="E24" s="883">
        <v>2</v>
      </c>
      <c r="F24" s="57" t="s">
        <v>466</v>
      </c>
      <c r="G24" s="304" t="s">
        <v>481</v>
      </c>
      <c r="H24" s="424">
        <v>190</v>
      </c>
      <c r="I24" s="424"/>
      <c r="J24" s="56">
        <f t="shared" si="0"/>
        <v>0</v>
      </c>
    </row>
    <row r="25" spans="1:10" ht="11.25">
      <c r="A25" s="885"/>
      <c r="B25" s="883"/>
      <c r="C25" s="303" t="s">
        <v>885</v>
      </c>
      <c r="D25" s="303" t="s">
        <v>150</v>
      </c>
      <c r="E25" s="883"/>
      <c r="F25" s="57" t="s">
        <v>471</v>
      </c>
      <c r="G25" s="304" t="s">
        <v>939</v>
      </c>
      <c r="H25" s="424">
        <v>160</v>
      </c>
      <c r="I25" s="424"/>
      <c r="J25" s="56">
        <f t="shared" si="0"/>
        <v>0</v>
      </c>
    </row>
    <row r="26" spans="1:10" ht="11.25">
      <c r="A26" s="885" t="s">
        <v>408</v>
      </c>
      <c r="B26" s="57">
        <v>220</v>
      </c>
      <c r="C26" s="303">
        <v>220</v>
      </c>
      <c r="D26" s="303" t="s">
        <v>886</v>
      </c>
      <c r="E26" s="57" t="s">
        <v>465</v>
      </c>
      <c r="F26" s="57" t="s">
        <v>465</v>
      </c>
      <c r="G26" s="304" t="s">
        <v>482</v>
      </c>
      <c r="H26" s="424">
        <v>3000</v>
      </c>
      <c r="I26" s="424"/>
      <c r="J26" s="56">
        <f t="shared" si="0"/>
        <v>0</v>
      </c>
    </row>
    <row r="27" spans="1:10" ht="11.25">
      <c r="A27" s="885"/>
      <c r="B27" s="57">
        <v>110</v>
      </c>
      <c r="C27" s="303">
        <v>110</v>
      </c>
      <c r="D27" s="303" t="s">
        <v>886</v>
      </c>
      <c r="E27" s="57" t="s">
        <v>465</v>
      </c>
      <c r="F27" s="57" t="s">
        <v>465</v>
      </c>
      <c r="G27" s="304" t="s">
        <v>483</v>
      </c>
      <c r="H27" s="424">
        <v>2300</v>
      </c>
      <c r="I27" s="424"/>
      <c r="J27" s="56">
        <f t="shared" si="0"/>
        <v>0</v>
      </c>
    </row>
    <row r="28" spans="1:10" ht="11.25">
      <c r="A28" s="306" t="s">
        <v>484</v>
      </c>
      <c r="B28" s="305"/>
      <c r="C28" s="186" t="str">
        <f>G28</f>
        <v>ВН_Всего</v>
      </c>
      <c r="D28" s="303"/>
      <c r="E28" s="305"/>
      <c r="F28" s="305"/>
      <c r="G28" s="305" t="s">
        <v>877</v>
      </c>
      <c r="H28" s="425"/>
      <c r="I28" s="425"/>
      <c r="J28" s="182">
        <f>SUM(J16:J27)</f>
        <v>0</v>
      </c>
    </row>
    <row r="29" spans="1:10" ht="11.25">
      <c r="A29" s="885" t="s">
        <v>403</v>
      </c>
      <c r="B29" s="883">
        <v>35</v>
      </c>
      <c r="C29" s="303">
        <v>35</v>
      </c>
      <c r="D29" s="303" t="s">
        <v>13</v>
      </c>
      <c r="E29" s="883">
        <v>1</v>
      </c>
      <c r="F29" s="57" t="s">
        <v>474</v>
      </c>
      <c r="G29" s="304" t="s">
        <v>485</v>
      </c>
      <c r="H29" s="426">
        <v>170</v>
      </c>
      <c r="I29" s="426"/>
      <c r="J29" s="56">
        <f aca="true" t="shared" si="1" ref="J29:J38">H29*I29/100</f>
        <v>0</v>
      </c>
    </row>
    <row r="30" spans="1:10" ht="11.25">
      <c r="A30" s="885"/>
      <c r="B30" s="883"/>
      <c r="C30" s="303">
        <v>35</v>
      </c>
      <c r="D30" s="303" t="s">
        <v>13</v>
      </c>
      <c r="E30" s="883"/>
      <c r="F30" s="57" t="s">
        <v>466</v>
      </c>
      <c r="G30" s="304" t="s">
        <v>486</v>
      </c>
      <c r="H30" s="426">
        <v>140</v>
      </c>
      <c r="I30" s="426"/>
      <c r="J30" s="56">
        <f t="shared" si="1"/>
        <v>0</v>
      </c>
    </row>
    <row r="31" spans="1:10" ht="11.25">
      <c r="A31" s="885"/>
      <c r="B31" s="883"/>
      <c r="C31" s="303">
        <v>35</v>
      </c>
      <c r="D31" s="303" t="s">
        <v>13</v>
      </c>
      <c r="E31" s="883"/>
      <c r="F31" s="57" t="s">
        <v>471</v>
      </c>
      <c r="G31" s="304" t="s">
        <v>940</v>
      </c>
      <c r="H31" s="426">
        <v>120</v>
      </c>
      <c r="I31" s="426">
        <v>37.49</v>
      </c>
      <c r="J31" s="56">
        <f t="shared" si="1"/>
        <v>44.988</v>
      </c>
    </row>
    <row r="32" spans="1:10" ht="11.25">
      <c r="A32" s="885"/>
      <c r="B32" s="883"/>
      <c r="C32" s="303">
        <v>35</v>
      </c>
      <c r="D32" s="303" t="s">
        <v>150</v>
      </c>
      <c r="E32" s="883">
        <v>2</v>
      </c>
      <c r="F32" s="57" t="s">
        <v>466</v>
      </c>
      <c r="G32" s="304" t="s">
        <v>487</v>
      </c>
      <c r="H32" s="426">
        <v>180</v>
      </c>
      <c r="I32" s="426"/>
      <c r="J32" s="56">
        <f t="shared" si="1"/>
        <v>0</v>
      </c>
    </row>
    <row r="33" spans="1:10" ht="11.25">
      <c r="A33" s="885"/>
      <c r="B33" s="883"/>
      <c r="C33" s="303">
        <v>35</v>
      </c>
      <c r="D33" s="303" t="s">
        <v>150</v>
      </c>
      <c r="E33" s="883"/>
      <c r="F33" s="57" t="s">
        <v>471</v>
      </c>
      <c r="G33" s="304" t="s">
        <v>941</v>
      </c>
      <c r="H33" s="426">
        <v>150</v>
      </c>
      <c r="I33" s="426"/>
      <c r="J33" s="56">
        <f t="shared" si="1"/>
        <v>0</v>
      </c>
    </row>
    <row r="34" spans="1:12" ht="11.25">
      <c r="A34" s="885"/>
      <c r="B34" s="883" t="s">
        <v>488</v>
      </c>
      <c r="C34" s="303" t="s">
        <v>887</v>
      </c>
      <c r="D34" s="303" t="s">
        <v>886</v>
      </c>
      <c r="E34" s="883" t="s">
        <v>465</v>
      </c>
      <c r="F34" s="57" t="s">
        <v>474</v>
      </c>
      <c r="G34" s="304" t="s">
        <v>489</v>
      </c>
      <c r="H34" s="426">
        <v>160</v>
      </c>
      <c r="I34" s="426"/>
      <c r="J34" s="56">
        <f t="shared" si="1"/>
        <v>0</v>
      </c>
      <c r="L34" s="458"/>
    </row>
    <row r="35" spans="1:12" ht="11.25">
      <c r="A35" s="885"/>
      <c r="B35" s="883"/>
      <c r="C35" s="303" t="s">
        <v>887</v>
      </c>
      <c r="D35" s="303" t="s">
        <v>886</v>
      </c>
      <c r="E35" s="883"/>
      <c r="F35" s="57" t="s">
        <v>490</v>
      </c>
      <c r="G35" s="304" t="s">
        <v>491</v>
      </c>
      <c r="H35" s="426">
        <v>140</v>
      </c>
      <c r="I35" s="426">
        <v>14.118</v>
      </c>
      <c r="J35" s="56">
        <f t="shared" si="1"/>
        <v>19.7652</v>
      </c>
      <c r="L35" s="458"/>
    </row>
    <row r="36" spans="1:12" ht="11.25">
      <c r="A36" s="885"/>
      <c r="B36" s="883"/>
      <c r="C36" s="303" t="s">
        <v>887</v>
      </c>
      <c r="D36" s="303" t="s">
        <v>886</v>
      </c>
      <c r="E36" s="883"/>
      <c r="F36" s="57" t="s">
        <v>492</v>
      </c>
      <c r="G36" s="304" t="s">
        <v>493</v>
      </c>
      <c r="H36" s="426">
        <v>110</v>
      </c>
      <c r="I36" s="426">
        <v>2.373</v>
      </c>
      <c r="J36" s="56">
        <f t="shared" si="1"/>
        <v>2.6103000000000005</v>
      </c>
      <c r="L36" s="458"/>
    </row>
    <row r="37" spans="1:12" ht="11.25">
      <c r="A37" s="885" t="s">
        <v>408</v>
      </c>
      <c r="B37" s="57" t="s">
        <v>494</v>
      </c>
      <c r="C37" s="303" t="s">
        <v>888</v>
      </c>
      <c r="D37" s="303" t="s">
        <v>886</v>
      </c>
      <c r="E37" s="57" t="s">
        <v>465</v>
      </c>
      <c r="F37" s="57" t="s">
        <v>465</v>
      </c>
      <c r="G37" s="304" t="s">
        <v>495</v>
      </c>
      <c r="H37" s="426">
        <v>470</v>
      </c>
      <c r="I37" s="426"/>
      <c r="J37" s="56">
        <f t="shared" si="1"/>
        <v>0</v>
      </c>
      <c r="L37" s="458"/>
    </row>
    <row r="38" spans="1:12" ht="11.25">
      <c r="A38" s="885"/>
      <c r="B38" s="57" t="s">
        <v>496</v>
      </c>
      <c r="C38" s="303" t="s">
        <v>882</v>
      </c>
      <c r="D38" s="303" t="s">
        <v>886</v>
      </c>
      <c r="E38" s="57" t="s">
        <v>465</v>
      </c>
      <c r="F38" s="57" t="s">
        <v>465</v>
      </c>
      <c r="G38" s="304" t="s">
        <v>497</v>
      </c>
      <c r="H38" s="426">
        <v>350</v>
      </c>
      <c r="I38" s="426">
        <v>74.148</v>
      </c>
      <c r="J38" s="56">
        <f t="shared" si="1"/>
        <v>259.518</v>
      </c>
      <c r="L38" s="458"/>
    </row>
    <row r="39" spans="1:12" ht="11.25">
      <c r="A39" s="306" t="s">
        <v>498</v>
      </c>
      <c r="B39" s="305"/>
      <c r="C39" s="186" t="str">
        <f>G39</f>
        <v>СН1_Всего</v>
      </c>
      <c r="D39" s="303"/>
      <c r="E39" s="305"/>
      <c r="F39" s="305"/>
      <c r="G39" s="305" t="s">
        <v>878</v>
      </c>
      <c r="H39" s="425"/>
      <c r="I39" s="425"/>
      <c r="J39" s="182">
        <f>SUM(J29:J33)+J37</f>
        <v>44.988</v>
      </c>
      <c r="L39" s="458"/>
    </row>
    <row r="40" spans="1:12" ht="11.25">
      <c r="A40" s="306" t="s">
        <v>499</v>
      </c>
      <c r="B40" s="305"/>
      <c r="C40" s="186" t="str">
        <f>G40</f>
        <v>СН2_Всего</v>
      </c>
      <c r="D40" s="303"/>
      <c r="E40" s="305"/>
      <c r="F40" s="305"/>
      <c r="G40" s="305" t="s">
        <v>879</v>
      </c>
      <c r="H40" s="425"/>
      <c r="I40" s="425"/>
      <c r="J40" s="182">
        <f>SUM(J34:J36)+J38</f>
        <v>281.89349999999996</v>
      </c>
      <c r="L40" s="458"/>
    </row>
    <row r="41" spans="1:12" ht="11.25">
      <c r="A41" s="885" t="s">
        <v>403</v>
      </c>
      <c r="B41" s="883" t="s">
        <v>500</v>
      </c>
      <c r="C41" s="303" t="s">
        <v>883</v>
      </c>
      <c r="D41" s="303" t="s">
        <v>886</v>
      </c>
      <c r="E41" s="883" t="s">
        <v>465</v>
      </c>
      <c r="F41" s="57" t="s">
        <v>474</v>
      </c>
      <c r="G41" s="304" t="s">
        <v>501</v>
      </c>
      <c r="H41" s="426">
        <v>260</v>
      </c>
      <c r="I41" s="426"/>
      <c r="J41" s="56">
        <f>H41*I41/100</f>
        <v>0</v>
      </c>
      <c r="L41" s="458"/>
    </row>
    <row r="42" spans="1:12" ht="11.25">
      <c r="A42" s="885"/>
      <c r="B42" s="883"/>
      <c r="C42" s="303" t="s">
        <v>883</v>
      </c>
      <c r="D42" s="303" t="s">
        <v>886</v>
      </c>
      <c r="E42" s="883"/>
      <c r="F42" s="57" t="s">
        <v>490</v>
      </c>
      <c r="G42" s="304" t="s">
        <v>502</v>
      </c>
      <c r="H42" s="426">
        <v>220</v>
      </c>
      <c r="I42" s="426">
        <v>7.037</v>
      </c>
      <c r="J42" s="56">
        <f>H42*I42/100</f>
        <v>15.481399999999999</v>
      </c>
      <c r="L42" s="458"/>
    </row>
    <row r="43" spans="1:12" ht="11.25">
      <c r="A43" s="885"/>
      <c r="B43" s="883"/>
      <c r="C43" s="303" t="s">
        <v>883</v>
      </c>
      <c r="D43" s="303" t="s">
        <v>886</v>
      </c>
      <c r="E43" s="883"/>
      <c r="F43" s="57" t="s">
        <v>492</v>
      </c>
      <c r="G43" s="304" t="s">
        <v>503</v>
      </c>
      <c r="H43" s="426">
        <v>150</v>
      </c>
      <c r="I43" s="426"/>
      <c r="J43" s="56">
        <f>H43*I43/100</f>
        <v>0</v>
      </c>
      <c r="L43" s="458"/>
    </row>
    <row r="44" spans="1:12" ht="11.25">
      <c r="A44" s="5" t="s">
        <v>408</v>
      </c>
      <c r="B44" s="57" t="s">
        <v>504</v>
      </c>
      <c r="C44" s="303" t="s">
        <v>884</v>
      </c>
      <c r="D44" s="303" t="s">
        <v>886</v>
      </c>
      <c r="E44" s="57" t="s">
        <v>465</v>
      </c>
      <c r="F44" s="57" t="s">
        <v>465</v>
      </c>
      <c r="G44" s="304" t="s">
        <v>505</v>
      </c>
      <c r="H44" s="426">
        <v>270</v>
      </c>
      <c r="I44" s="426">
        <v>93.595</v>
      </c>
      <c r="J44" s="56">
        <f>H44*I44/100</f>
        <v>252.7065</v>
      </c>
      <c r="L44" s="458"/>
    </row>
    <row r="45" spans="1:12" ht="12" thickBot="1">
      <c r="A45" s="307" t="s">
        <v>506</v>
      </c>
      <c r="B45" s="308"/>
      <c r="C45" s="309" t="str">
        <f>G45</f>
        <v>НН_Всего</v>
      </c>
      <c r="D45" s="310"/>
      <c r="E45" s="308"/>
      <c r="F45" s="308"/>
      <c r="G45" s="308" t="s">
        <v>880</v>
      </c>
      <c r="H45" s="427"/>
      <c r="I45" s="427"/>
      <c r="J45" s="66">
        <f>SUM(J41:J44)</f>
        <v>268.1879</v>
      </c>
      <c r="L45" s="458"/>
    </row>
    <row r="46" s="14" customFormat="1" ht="11.25">
      <c r="J46" s="179"/>
    </row>
    <row r="47" s="14" customFormat="1" ht="11.25">
      <c r="J47" s="452"/>
    </row>
    <row r="48" spans="1:10" s="14" customFormat="1" ht="11.25">
      <c r="A48" s="14" t="s">
        <v>1356</v>
      </c>
      <c r="J48" s="452"/>
    </row>
    <row r="49" s="14" customFormat="1" ht="11.25">
      <c r="J49" s="179"/>
    </row>
    <row r="50" spans="1:10" s="14" customFormat="1" ht="11.25">
      <c r="A50" s="14" t="s">
        <v>1346</v>
      </c>
      <c r="J50" s="179"/>
    </row>
    <row r="51" s="14" customFormat="1" ht="11.25">
      <c r="J51" s="179"/>
    </row>
    <row r="52" s="14" customFormat="1" ht="11.25">
      <c r="J52" s="179"/>
    </row>
    <row r="53" s="14" customFormat="1" ht="11.25">
      <c r="J53" s="179"/>
    </row>
    <row r="54" s="14" customFormat="1" ht="11.25">
      <c r="J54" s="179"/>
    </row>
    <row r="55" s="14" customFormat="1" ht="11.25">
      <c r="J55" s="179"/>
    </row>
    <row r="56" s="14" customFormat="1" ht="11.25">
      <c r="J56" s="179"/>
    </row>
    <row r="57" s="14" customFormat="1" ht="11.25">
      <c r="J57" s="179"/>
    </row>
    <row r="58" s="14" customFormat="1" ht="11.25">
      <c r="J58" s="179"/>
    </row>
    <row r="59" s="14" customFormat="1" ht="11.25">
      <c r="J59" s="179"/>
    </row>
    <row r="60" s="14" customFormat="1" ht="11.25">
      <c r="J60" s="179"/>
    </row>
    <row r="61" s="14" customFormat="1" ht="11.25">
      <c r="J61" s="179"/>
    </row>
    <row r="62" s="14" customFormat="1" ht="11.25">
      <c r="J62" s="179"/>
    </row>
    <row r="63" s="14" customFormat="1" ht="11.25">
      <c r="J63" s="179"/>
    </row>
    <row r="64" s="14" customFormat="1" ht="11.25">
      <c r="J64" s="179"/>
    </row>
    <row r="65" s="14" customFormat="1" ht="11.25">
      <c r="J65" s="179"/>
    </row>
    <row r="66" s="14" customFormat="1" ht="11.25">
      <c r="J66" s="179"/>
    </row>
    <row r="67" s="14" customFormat="1" ht="11.25">
      <c r="J67" s="179"/>
    </row>
    <row r="68" s="14" customFormat="1" ht="11.25">
      <c r="J68" s="179"/>
    </row>
    <row r="69" s="14" customFormat="1" ht="11.25">
      <c r="J69" s="179"/>
    </row>
    <row r="70" s="14" customFormat="1" ht="11.25">
      <c r="J70" s="179"/>
    </row>
    <row r="71" s="14" customFormat="1" ht="11.25">
      <c r="J71" s="179"/>
    </row>
    <row r="72" s="14" customFormat="1" ht="11.25">
      <c r="J72" s="179"/>
    </row>
    <row r="73" s="14" customFormat="1" ht="11.25">
      <c r="J73" s="179"/>
    </row>
    <row r="74" s="14" customFormat="1" ht="11.25">
      <c r="J74" s="179"/>
    </row>
    <row r="75" s="14" customFormat="1" ht="11.25">
      <c r="J75" s="179"/>
    </row>
    <row r="76" s="14" customFormat="1" ht="11.25">
      <c r="J76" s="179"/>
    </row>
    <row r="77" s="14" customFormat="1" ht="11.25">
      <c r="J77" s="179"/>
    </row>
    <row r="78" s="14" customFormat="1" ht="11.25">
      <c r="J78" s="179"/>
    </row>
    <row r="79" s="14" customFormat="1" ht="11.25">
      <c r="J79" s="179"/>
    </row>
    <row r="80" s="14" customFormat="1" ht="11.25">
      <c r="J80" s="179"/>
    </row>
    <row r="81" s="14" customFormat="1" ht="11.25">
      <c r="J81" s="179"/>
    </row>
    <row r="82" s="14" customFormat="1" ht="11.25">
      <c r="J82" s="179"/>
    </row>
    <row r="83" s="14" customFormat="1" ht="11.25">
      <c r="J83" s="179"/>
    </row>
    <row r="84" s="14" customFormat="1" ht="11.25">
      <c r="J84" s="179"/>
    </row>
    <row r="85" s="14" customFormat="1" ht="11.25">
      <c r="J85" s="179"/>
    </row>
    <row r="86" s="14" customFormat="1" ht="11.25">
      <c r="J86" s="179"/>
    </row>
    <row r="87" s="14" customFormat="1" ht="11.25">
      <c r="J87" s="179"/>
    </row>
    <row r="88" s="14" customFormat="1" ht="11.25">
      <c r="J88" s="179"/>
    </row>
    <row r="89" s="14" customFormat="1" ht="11.25">
      <c r="J89" s="179"/>
    </row>
    <row r="90" s="14" customFormat="1" ht="11.25">
      <c r="J90" s="179"/>
    </row>
    <row r="91" s="14" customFormat="1" ht="11.25">
      <c r="J91" s="179"/>
    </row>
    <row r="92" s="14" customFormat="1" ht="11.25">
      <c r="J92" s="179"/>
    </row>
    <row r="93" s="14" customFormat="1" ht="11.25">
      <c r="J93" s="179"/>
    </row>
    <row r="94" s="14" customFormat="1" ht="11.25">
      <c r="J94" s="179"/>
    </row>
    <row r="95" s="14" customFormat="1" ht="11.25">
      <c r="J95" s="179"/>
    </row>
    <row r="96" s="14" customFormat="1" ht="11.25">
      <c r="J96" s="179"/>
    </row>
    <row r="97" s="14" customFormat="1" ht="11.25">
      <c r="J97" s="179"/>
    </row>
    <row r="98" s="14" customFormat="1" ht="11.25">
      <c r="J98" s="179"/>
    </row>
    <row r="99" s="14" customFormat="1" ht="11.25">
      <c r="J99" s="179"/>
    </row>
    <row r="100" s="14" customFormat="1" ht="11.25">
      <c r="J100" s="179"/>
    </row>
    <row r="101" s="14" customFormat="1" ht="11.25">
      <c r="J101" s="179"/>
    </row>
    <row r="102" s="14" customFormat="1" ht="11.25">
      <c r="J102" s="179"/>
    </row>
    <row r="103" s="14" customFormat="1" ht="11.25">
      <c r="J103" s="179"/>
    </row>
  </sheetData>
  <sheetProtection formatColumns="0" formatRows="0"/>
  <protectedRanges>
    <protectedRange sqref="H8:I45" name="Диапазон1"/>
  </protectedRanges>
  <mergeCells count="35">
    <mergeCell ref="E41:E43"/>
    <mergeCell ref="A8:A25"/>
    <mergeCell ref="A37:A38"/>
    <mergeCell ref="A41:A43"/>
    <mergeCell ref="B41:B43"/>
    <mergeCell ref="A26:A27"/>
    <mergeCell ref="A29:A36"/>
    <mergeCell ref="B29:B33"/>
    <mergeCell ref="E29:E31"/>
    <mergeCell ref="E32:E33"/>
    <mergeCell ref="B34:B36"/>
    <mergeCell ref="E34:E36"/>
    <mergeCell ref="B10:B11"/>
    <mergeCell ref="E10:E11"/>
    <mergeCell ref="B12:B15"/>
    <mergeCell ref="E12:E13"/>
    <mergeCell ref="E14:E15"/>
    <mergeCell ref="B16:B20"/>
    <mergeCell ref="E16:E18"/>
    <mergeCell ref="E19:E20"/>
    <mergeCell ref="B21:B25"/>
    <mergeCell ref="E21:E23"/>
    <mergeCell ref="E24:E25"/>
    <mergeCell ref="A2:J2"/>
    <mergeCell ref="A4:A5"/>
    <mergeCell ref="B4:B5"/>
    <mergeCell ref="E4:E5"/>
    <mergeCell ref="F4:F5"/>
    <mergeCell ref="L10:S10"/>
    <mergeCell ref="L4:S4"/>
    <mergeCell ref="L5:S5"/>
    <mergeCell ref="L6:S6"/>
    <mergeCell ref="L7:S7"/>
    <mergeCell ref="L8:S8"/>
    <mergeCell ref="L9:S9"/>
  </mergeCells>
  <dataValidations count="76">
    <dataValidation type="decimal" allowBlank="1" showInputMessage="1" showErrorMessage="1" error="Ввведеное значение неверно" sqref="H8">
      <formula1>-1000000000000000</formula1>
      <formula2>1000000000000000</formula2>
    </dataValidation>
    <dataValidation type="decimal" allowBlank="1" showInputMessage="1" showErrorMessage="1" error="Ввведеное значение неверно" sqref="I8">
      <formula1>-1000000000000000</formula1>
      <formula2>1000000000000000</formula2>
    </dataValidation>
    <dataValidation type="decimal" allowBlank="1" showInputMessage="1" showErrorMessage="1" error="Ввведеное значение неверно" sqref="H9">
      <formula1>-1000000000000000</formula1>
      <formula2>1000000000000000</formula2>
    </dataValidation>
    <dataValidation type="decimal" allowBlank="1" showInputMessage="1" showErrorMessage="1" error="Ввведеное значение неверно" sqref="I9">
      <formula1>-1000000000000000</formula1>
      <formula2>1000000000000000</formula2>
    </dataValidation>
    <dataValidation type="decimal" allowBlank="1" showInputMessage="1" showErrorMessage="1" error="Ввведеное значение неверно" sqref="H10">
      <formula1>-1000000000000000</formula1>
      <formula2>1000000000000000</formula2>
    </dataValidation>
    <dataValidation type="decimal" allowBlank="1" showInputMessage="1" showErrorMessage="1" error="Ввведеное значение неверно" sqref="I10">
      <formula1>-1000000000000000</formula1>
      <formula2>1000000000000000</formula2>
    </dataValidation>
    <dataValidation type="decimal" allowBlank="1" showInputMessage="1" showErrorMessage="1" error="Ввведеное значение неверно" sqref="H11">
      <formula1>-1000000000000000</formula1>
      <formula2>1000000000000000</formula2>
    </dataValidation>
    <dataValidation type="decimal" allowBlank="1" showInputMessage="1" showErrorMessage="1" error="Ввведеное значение неверно" sqref="I11">
      <formula1>-1000000000000000</formula1>
      <formula2>1000000000000000</formula2>
    </dataValidation>
    <dataValidation type="decimal" allowBlank="1" showInputMessage="1" showErrorMessage="1" error="Ввведеное значение неверно" sqref="H12">
      <formula1>-1000000000000000</formula1>
      <formula2>1000000000000000</formula2>
    </dataValidation>
    <dataValidation type="decimal" allowBlank="1" showInputMessage="1" showErrorMessage="1" error="Ввведеное значение неверно" sqref="I12">
      <formula1>-1000000000000000</formula1>
      <formula2>1000000000000000</formula2>
    </dataValidation>
    <dataValidation type="decimal" allowBlank="1" showInputMessage="1" showErrorMessage="1" error="Ввведеное значение неверно" sqref="H13">
      <formula1>-1000000000000000</formula1>
      <formula2>1000000000000000</formula2>
    </dataValidation>
    <dataValidation type="decimal" allowBlank="1" showInputMessage="1" showErrorMessage="1" error="Ввведеное значение неверно" sqref="I13">
      <formula1>-1000000000000000</formula1>
      <formula2>1000000000000000</formula2>
    </dataValidation>
    <dataValidation type="decimal" allowBlank="1" showInputMessage="1" showErrorMessage="1" error="Ввведеное значение неверно" sqref="H14">
      <formula1>-1000000000000000</formula1>
      <formula2>1000000000000000</formula2>
    </dataValidation>
    <dataValidation type="decimal" allowBlank="1" showInputMessage="1" showErrorMessage="1" error="Ввведеное значение неверно" sqref="I14">
      <formula1>-1000000000000000</formula1>
      <formula2>1000000000000000</formula2>
    </dataValidation>
    <dataValidation type="decimal" allowBlank="1" showInputMessage="1" showErrorMessage="1" error="Ввведеное значение неверно" sqref="H15">
      <formula1>-1000000000000000</formula1>
      <formula2>1000000000000000</formula2>
    </dataValidation>
    <dataValidation type="decimal" allowBlank="1" showInputMessage="1" showErrorMessage="1" error="Ввведеное значение неверно" sqref="I15">
      <formula1>-1000000000000000</formula1>
      <formula2>1000000000000000</formula2>
    </dataValidation>
    <dataValidation type="decimal" allowBlank="1" showInputMessage="1" showErrorMessage="1" error="Ввведеное значение неверно" sqref="H16">
      <formula1>-1000000000000000</formula1>
      <formula2>1000000000000000</formula2>
    </dataValidation>
    <dataValidation type="decimal" allowBlank="1" showInputMessage="1" showErrorMessage="1" error="Ввведеное значение неверно" sqref="I16">
      <formula1>-1000000000000000</formula1>
      <formula2>1000000000000000</formula2>
    </dataValidation>
    <dataValidation type="decimal" allowBlank="1" showInputMessage="1" showErrorMessage="1" error="Ввведеное значение неверно" sqref="H17">
      <formula1>-1000000000000000</formula1>
      <formula2>1000000000000000</formula2>
    </dataValidation>
    <dataValidation type="decimal" allowBlank="1" showInputMessage="1" showErrorMessage="1" error="Ввведеное значение неверно" sqref="I17">
      <formula1>-1000000000000000</formula1>
      <formula2>1000000000000000</formula2>
    </dataValidation>
    <dataValidation type="decimal" allowBlank="1" showInputMessage="1" showErrorMessage="1" error="Ввведеное значение неверно" sqref="H18">
      <formula1>-1000000000000000</formula1>
      <formula2>1000000000000000</formula2>
    </dataValidation>
    <dataValidation type="decimal" allowBlank="1" showInputMessage="1" showErrorMessage="1" error="Ввведеное значение неверно" sqref="I18">
      <formula1>-1000000000000000</formula1>
      <formula2>1000000000000000</formula2>
    </dataValidation>
    <dataValidation type="decimal" allowBlank="1" showInputMessage="1" showErrorMessage="1" error="Ввведеное значение неверно" sqref="H19">
      <formula1>-1000000000000000</formula1>
      <formula2>1000000000000000</formula2>
    </dataValidation>
    <dataValidation type="decimal" allowBlank="1" showInputMessage="1" showErrorMessage="1" error="Ввведеное значение неверно" sqref="I19">
      <formula1>-1000000000000000</formula1>
      <formula2>1000000000000000</formula2>
    </dataValidation>
    <dataValidation type="decimal" allowBlank="1" showInputMessage="1" showErrorMessage="1" error="Ввведеное значение неверно" sqref="H20">
      <formula1>-1000000000000000</formula1>
      <formula2>1000000000000000</formula2>
    </dataValidation>
    <dataValidation type="decimal" allowBlank="1" showInputMessage="1" showErrorMessage="1" error="Ввведеное значение неверно" sqref="I20">
      <formula1>-1000000000000000</formula1>
      <formula2>1000000000000000</formula2>
    </dataValidation>
    <dataValidation type="decimal" allowBlank="1" showInputMessage="1" showErrorMessage="1" error="Ввведеное значение неверно" sqref="H21">
      <formula1>-1000000000000000</formula1>
      <formula2>1000000000000000</formula2>
    </dataValidation>
    <dataValidation type="decimal" allowBlank="1" showInputMessage="1" showErrorMessage="1" error="Ввведеное значение неверно" sqref="I21">
      <formula1>-1000000000000000</formula1>
      <formula2>1000000000000000</formula2>
    </dataValidation>
    <dataValidation type="decimal" allowBlank="1" showInputMessage="1" showErrorMessage="1" error="Ввведеное значение неверно" sqref="H22">
      <formula1>-1000000000000000</formula1>
      <formula2>1000000000000000</formula2>
    </dataValidation>
    <dataValidation type="decimal" allowBlank="1" showInputMessage="1" showErrorMessage="1" error="Ввведеное значение неверно" sqref="I22">
      <formula1>-1000000000000000</formula1>
      <formula2>1000000000000000</formula2>
    </dataValidation>
    <dataValidation type="decimal" allowBlank="1" showInputMessage="1" showErrorMessage="1" error="Ввведеное значение неверно" sqref="H23">
      <formula1>-1000000000000000</formula1>
      <formula2>1000000000000000</formula2>
    </dataValidation>
    <dataValidation type="decimal" allowBlank="1" showInputMessage="1" showErrorMessage="1" error="Ввведеное значение неверно" sqref="I23">
      <formula1>-1000000000000000</formula1>
      <formula2>1000000000000000</formula2>
    </dataValidation>
    <dataValidation type="decimal" allowBlank="1" showInputMessage="1" showErrorMessage="1" error="Ввведеное значение неверно" sqref="H24">
      <formula1>-1000000000000000</formula1>
      <formula2>1000000000000000</formula2>
    </dataValidation>
    <dataValidation type="decimal" allowBlank="1" showInputMessage="1" showErrorMessage="1" error="Ввведеное значение неверно" sqref="I24">
      <formula1>-1000000000000000</formula1>
      <formula2>1000000000000000</formula2>
    </dataValidation>
    <dataValidation type="decimal" allowBlank="1" showInputMessage="1" showErrorMessage="1" error="Ввведеное значение неверно" sqref="H25">
      <formula1>-1000000000000000</formula1>
      <formula2>1000000000000000</formula2>
    </dataValidation>
    <dataValidation type="decimal" allowBlank="1" showInputMessage="1" showErrorMessage="1" error="Ввведеное значение неверно" sqref="I25">
      <formula1>-1000000000000000</formula1>
      <formula2>1000000000000000</formula2>
    </dataValidation>
    <dataValidation type="decimal" allowBlank="1" showInputMessage="1" showErrorMessage="1" error="Ввведеное значение неверно" sqref="H26">
      <formula1>-1000000000000000</formula1>
      <formula2>1000000000000000</formula2>
    </dataValidation>
    <dataValidation type="decimal" allowBlank="1" showInputMessage="1" showErrorMessage="1" error="Ввведеное значение неверно" sqref="I26">
      <formula1>-1000000000000000</formula1>
      <formula2>1000000000000000</formula2>
    </dataValidation>
    <dataValidation type="decimal" allowBlank="1" showInputMessage="1" showErrorMessage="1" error="Ввведеное значение неверно" sqref="H27">
      <formula1>-1000000000000000</formula1>
      <formula2>1000000000000000</formula2>
    </dataValidation>
    <dataValidation type="decimal" allowBlank="1" showInputMessage="1" showErrorMessage="1" error="Ввведеное значение неверно" sqref="I27">
      <formula1>-1000000000000000</formula1>
      <formula2>1000000000000000</formula2>
    </dataValidation>
    <dataValidation type="decimal" allowBlank="1" showInputMessage="1" showErrorMessage="1" error="Ввведеное значение неверно" sqref="H28">
      <formula1>-1000000000000000</formula1>
      <formula2>1000000000000000</formula2>
    </dataValidation>
    <dataValidation type="decimal" allowBlank="1" showInputMessage="1" showErrorMessage="1" error="Ввведеное значение неверно" sqref="I28">
      <formula1>-1000000000000000</formula1>
      <formula2>1000000000000000</formula2>
    </dataValidation>
    <dataValidation type="decimal" allowBlank="1" showInputMessage="1" showErrorMessage="1" error="Ввведеное значение неверно" sqref="H29">
      <formula1>-1000000000000000</formula1>
      <formula2>1000000000000000</formula2>
    </dataValidation>
    <dataValidation type="decimal" allowBlank="1" showInputMessage="1" showErrorMessage="1" error="Ввведеное значение неверно" sqref="I29">
      <formula1>-1000000000000000</formula1>
      <formula2>1000000000000000</formula2>
    </dataValidation>
    <dataValidation type="decimal" allowBlank="1" showInputMessage="1" showErrorMessage="1" error="Ввведеное значение неверно" sqref="H30">
      <formula1>-1000000000000000</formula1>
      <formula2>1000000000000000</formula2>
    </dataValidation>
    <dataValidation type="decimal" allowBlank="1" showInputMessage="1" showErrorMessage="1" error="Ввведеное значение неверно" sqref="I30">
      <formula1>-1000000000000000</formula1>
      <formula2>1000000000000000</formula2>
    </dataValidation>
    <dataValidation type="decimal" allowBlank="1" showInputMessage="1" showErrorMessage="1" error="Ввведеное значение неверно" sqref="H31">
      <formula1>-1000000000000000</formula1>
      <formula2>1000000000000000</formula2>
    </dataValidation>
    <dataValidation type="decimal" allowBlank="1" showInputMessage="1" showErrorMessage="1" error="Ввведеное значение неверно" sqref="I31">
      <formula1>-1000000000000000</formula1>
      <formula2>1000000000000000</formula2>
    </dataValidation>
    <dataValidation type="decimal" allowBlank="1" showInputMessage="1" showErrorMessage="1" error="Ввведеное значение неверно" sqref="H32">
      <formula1>-1000000000000000</formula1>
      <formula2>1000000000000000</formula2>
    </dataValidation>
    <dataValidation type="decimal" allowBlank="1" showInputMessage="1" showErrorMessage="1" error="Ввведеное значение неверно" sqref="I32">
      <formula1>-1000000000000000</formula1>
      <formula2>1000000000000000</formula2>
    </dataValidation>
    <dataValidation type="decimal" allowBlank="1" showInputMessage="1" showErrorMessage="1" error="Ввведеное значение неверно" sqref="H33">
      <formula1>-1000000000000000</formula1>
      <formula2>1000000000000000</formula2>
    </dataValidation>
    <dataValidation type="decimal" allowBlank="1" showInputMessage="1" showErrorMessage="1" error="Ввведеное значение неверно" sqref="I33">
      <formula1>-1000000000000000</formula1>
      <formula2>1000000000000000</formula2>
    </dataValidation>
    <dataValidation type="decimal" allowBlank="1" showInputMessage="1" showErrorMessage="1" error="Ввведеное значение неверно" sqref="H34">
      <formula1>-1000000000000000</formula1>
      <formula2>1000000000000000</formula2>
    </dataValidation>
    <dataValidation type="decimal" allowBlank="1" showInputMessage="1" showErrorMessage="1" error="Ввведеное значение неверно" sqref="I34">
      <formula1>-1000000000000000</formula1>
      <formula2>1000000000000000</formula2>
    </dataValidation>
    <dataValidation type="decimal" allowBlank="1" showInputMessage="1" showErrorMessage="1" error="Ввведеное значение неверно" sqref="H35">
      <formula1>-1000000000000000</formula1>
      <formula2>1000000000000000</formula2>
    </dataValidation>
    <dataValidation type="decimal" allowBlank="1" showInputMessage="1" showErrorMessage="1" error="Ввведеное значение неверно" sqref="I35">
      <formula1>-1000000000000000</formula1>
      <formula2>1000000000000000</formula2>
    </dataValidation>
    <dataValidation type="decimal" allowBlank="1" showInputMessage="1" showErrorMessage="1" error="Ввведеное значение неверно" sqref="H36">
      <formula1>-1000000000000000</formula1>
      <formula2>1000000000000000</formula2>
    </dataValidation>
    <dataValidation type="decimal" allowBlank="1" showInputMessage="1" showErrorMessage="1" error="Ввведеное значение неверно" sqref="I36">
      <formula1>-1000000000000000</formula1>
      <formula2>1000000000000000</formula2>
    </dataValidation>
    <dataValidation type="decimal" allowBlank="1" showInputMessage="1" showErrorMessage="1" error="Ввведеное значение неверно" sqref="H37">
      <formula1>-1000000000000000</formula1>
      <formula2>1000000000000000</formula2>
    </dataValidation>
    <dataValidation type="decimal" allowBlank="1" showInputMessage="1" showErrorMessage="1" error="Ввведеное значение неверно" sqref="I37">
      <formula1>-1000000000000000</formula1>
      <formula2>1000000000000000</formula2>
    </dataValidation>
    <dataValidation type="decimal" allowBlank="1" showInputMessage="1" showErrorMessage="1" error="Ввведеное значение неверно" sqref="H38">
      <formula1>-1000000000000000</formula1>
      <formula2>1000000000000000</formula2>
    </dataValidation>
    <dataValidation type="decimal" allowBlank="1" showInputMessage="1" showErrorMessage="1" error="Ввведеное значение неверно" sqref="I38">
      <formula1>-1000000000000000</formula1>
      <formula2>1000000000000000</formula2>
    </dataValidation>
    <dataValidation type="decimal" allowBlank="1" showInputMessage="1" showErrorMessage="1" error="Ввведеное значение неверно" sqref="H39">
      <formula1>-1000000000000000</formula1>
      <formula2>1000000000000000</formula2>
    </dataValidation>
    <dataValidation type="decimal" allowBlank="1" showInputMessage="1" showErrorMessage="1" error="Ввведеное значение неверно" sqref="I39">
      <formula1>-1000000000000000</formula1>
      <formula2>1000000000000000</formula2>
    </dataValidation>
    <dataValidation type="decimal" allowBlank="1" showInputMessage="1" showErrorMessage="1" error="Ввведеное значение неверно" sqref="H40">
      <formula1>-1000000000000000</formula1>
      <formula2>1000000000000000</formula2>
    </dataValidation>
    <dataValidation type="decimal" allowBlank="1" showInputMessage="1" showErrorMessage="1" error="Ввведеное значение неверно" sqref="I40">
      <formula1>-1000000000000000</formula1>
      <formula2>1000000000000000</formula2>
    </dataValidation>
    <dataValidation type="decimal" allowBlank="1" showInputMessage="1" showErrorMessage="1" error="Ввведеное значение неверно" sqref="H41">
      <formula1>-1000000000000000</formula1>
      <formula2>1000000000000000</formula2>
    </dataValidation>
    <dataValidation type="decimal" allowBlank="1" showInputMessage="1" showErrorMessage="1" error="Ввведеное значение неверно" sqref="I41">
      <formula1>-1000000000000000</formula1>
      <formula2>1000000000000000</formula2>
    </dataValidation>
    <dataValidation type="decimal" allowBlank="1" showInputMessage="1" showErrorMessage="1" error="Ввведеное значение неверно" sqref="H42">
      <formula1>-1000000000000000</formula1>
      <formula2>1000000000000000</formula2>
    </dataValidation>
    <dataValidation type="decimal" allowBlank="1" showInputMessage="1" showErrorMessage="1" error="Ввведеное значение неверно" sqref="I42">
      <formula1>-1000000000000000</formula1>
      <formula2>1000000000000000</formula2>
    </dataValidation>
    <dataValidation type="decimal" allowBlank="1" showInputMessage="1" showErrorMessage="1" error="Ввведеное значение неверно" sqref="H43">
      <formula1>-1000000000000000</formula1>
      <formula2>1000000000000000</formula2>
    </dataValidation>
    <dataValidation type="decimal" allowBlank="1" showInputMessage="1" showErrorMessage="1" error="Ввведеное значение неверно" sqref="I43">
      <formula1>-1000000000000000</formula1>
      <formula2>1000000000000000</formula2>
    </dataValidation>
    <dataValidation type="decimal" allowBlank="1" showInputMessage="1" showErrorMessage="1" error="Ввведеное значение неверно" sqref="H44">
      <formula1>-1000000000000000</formula1>
      <formula2>1000000000000000</formula2>
    </dataValidation>
    <dataValidation type="decimal" allowBlank="1" showInputMessage="1" showErrorMessage="1" error="Ввведеное значение неверно" sqref="I44">
      <formula1>-1000000000000000</formula1>
      <formula2>1000000000000000</formula2>
    </dataValidation>
    <dataValidation type="decimal" allowBlank="1" showInputMessage="1" showErrorMessage="1" error="Ввведеное значение неверно" sqref="H45">
      <formula1>-1000000000000000</formula1>
      <formula2>1000000000000000</formula2>
    </dataValidation>
    <dataValidation type="decimal" allowBlank="1" showInputMessage="1" showErrorMessage="1" error="Ввведеное значение неверно" sqref="I45">
      <formula1>-1000000000000000</formula1>
      <formula2>1000000000000000</formula2>
    </dataValidation>
  </dataValidations>
  <printOptions/>
  <pageMargins left="0.7480314960629921" right="0.2362204724409449" top="0.35433070866141736" bottom="0.4330708661417323" header="0.11811023622047245" footer="0.2362204724409449"/>
  <pageSetup horizontalDpi="600" verticalDpi="600" orientation="portrait" paperSize="9" scale="9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Лист15"/>
  <dimension ref="A1:Q359"/>
  <sheetViews>
    <sheetView zoomScale="90" zoomScaleNormal="90" zoomScaleSheetLayoutView="100" zoomScalePageLayoutView="0" workbookViewId="0" topLeftCell="A2">
      <pane ySplit="6" topLeftCell="A8" activePane="bottomLeft" state="frozen"/>
      <selection pane="topLeft" activeCell="F41" sqref="F41"/>
      <selection pane="bottomLeft" activeCell="F64" sqref="F64"/>
    </sheetView>
  </sheetViews>
  <sheetFormatPr defaultColWidth="9.140625" defaultRowHeight="11.25"/>
  <cols>
    <col min="1" max="1" width="6.7109375" style="0" customWidth="1"/>
    <col min="2" max="2" width="21.7109375" style="48" customWidth="1"/>
    <col min="3" max="3" width="21.7109375" style="48" hidden="1" customWidth="1"/>
    <col min="4" max="4" width="88.8515625" style="48" hidden="1" customWidth="1"/>
    <col min="5" max="5" width="14.8515625" style="48" customWidth="1"/>
    <col min="6" max="6" width="13.8515625" style="0" customWidth="1"/>
    <col min="7" max="7" width="14.00390625" style="0" customWidth="1"/>
    <col min="8" max="8" width="12.57421875" style="0" customWidth="1"/>
    <col min="9" max="9" width="12.57421875" style="149" customWidth="1"/>
    <col min="11" max="11" width="58.8515625" style="0" customWidth="1"/>
    <col min="12" max="12" width="6.57421875" style="0" customWidth="1"/>
    <col min="13" max="13" width="5.57421875" style="0" customWidth="1"/>
    <col min="14" max="14" width="8.00390625" style="0" customWidth="1"/>
    <col min="15" max="15" width="7.140625" style="0" customWidth="1"/>
    <col min="16" max="16" width="7.421875" style="0" customWidth="1"/>
    <col min="17" max="17" width="9.8515625" style="0" customWidth="1"/>
  </cols>
  <sheetData>
    <row r="1" spans="1:9" ht="12.75" hidden="1">
      <c r="A1" s="34" t="str">
        <f>Справочники!E13</f>
        <v>Мурманская область</v>
      </c>
      <c r="B1" s="241" t="str">
        <f>Справочники!D21</f>
        <v>МУП "Кировская горэлектросеть"</v>
      </c>
      <c r="I1" s="181" t="s">
        <v>531</v>
      </c>
    </row>
    <row r="2" spans="1:9" ht="54.75" customHeight="1">
      <c r="A2" s="884" t="s">
        <v>532</v>
      </c>
      <c r="B2" s="884"/>
      <c r="C2" s="884"/>
      <c r="D2" s="884"/>
      <c r="E2" s="884"/>
      <c r="F2" s="884"/>
      <c r="G2" s="884"/>
      <c r="H2" s="884"/>
      <c r="I2" s="884"/>
    </row>
    <row r="3" ht="15.75" customHeight="1" thickBot="1"/>
    <row r="4" spans="1:17" ht="56.25">
      <c r="A4" s="771" t="s">
        <v>86</v>
      </c>
      <c r="B4" s="792" t="s">
        <v>533</v>
      </c>
      <c r="C4" s="185"/>
      <c r="D4" s="185"/>
      <c r="E4" s="792" t="s">
        <v>145</v>
      </c>
      <c r="F4" s="773" t="s">
        <v>455</v>
      </c>
      <c r="G4" s="36" t="s">
        <v>534</v>
      </c>
      <c r="H4" s="36" t="s">
        <v>535</v>
      </c>
      <c r="I4" s="37" t="s">
        <v>460</v>
      </c>
      <c r="K4" s="886" t="s">
        <v>1153</v>
      </c>
      <c r="L4" s="886"/>
      <c r="M4" s="886"/>
      <c r="N4" s="886"/>
      <c r="O4" s="886"/>
      <c r="P4" s="886"/>
      <c r="Q4" s="886"/>
    </row>
    <row r="5" spans="1:17" ht="15">
      <c r="A5" s="772"/>
      <c r="B5" s="786"/>
      <c r="C5" s="162"/>
      <c r="D5" s="162"/>
      <c r="E5" s="786"/>
      <c r="F5" s="774"/>
      <c r="G5" s="4" t="s">
        <v>536</v>
      </c>
      <c r="H5" s="4" t="s">
        <v>537</v>
      </c>
      <c r="I5" s="8" t="s">
        <v>463</v>
      </c>
      <c r="K5" s="886" t="s">
        <v>1154</v>
      </c>
      <c r="L5" s="886"/>
      <c r="M5" s="886"/>
      <c r="N5" s="886"/>
      <c r="O5" s="886"/>
      <c r="P5" s="886"/>
      <c r="Q5" s="886"/>
    </row>
    <row r="6" spans="1:17" ht="44.25" customHeight="1">
      <c r="A6" s="9"/>
      <c r="B6" s="162"/>
      <c r="C6" s="162"/>
      <c r="D6" s="162"/>
      <c r="E6" s="162"/>
      <c r="F6" s="4"/>
      <c r="G6" s="254" t="s">
        <v>38</v>
      </c>
      <c r="H6" s="254" t="s">
        <v>71</v>
      </c>
      <c r="I6" s="298" t="s">
        <v>77</v>
      </c>
      <c r="K6" s="886" t="s">
        <v>1160</v>
      </c>
      <c r="L6" s="886"/>
      <c r="M6" s="886"/>
      <c r="N6" s="886"/>
      <c r="O6" s="886"/>
      <c r="P6" s="886"/>
      <c r="Q6" s="886"/>
    </row>
    <row r="7" spans="1:17" ht="33" customHeight="1">
      <c r="A7" s="9">
        <v>1</v>
      </c>
      <c r="B7" s="162">
        <f>+A7+1</f>
        <v>2</v>
      </c>
      <c r="C7" s="162"/>
      <c r="D7" s="162"/>
      <c r="E7" s="162">
        <f>+B7+1</f>
        <v>3</v>
      </c>
      <c r="F7" s="4">
        <f>+E7+1</f>
        <v>4</v>
      </c>
      <c r="G7" s="4">
        <f>+F7+1</f>
        <v>5</v>
      </c>
      <c r="H7" s="4">
        <f>+G7+1</f>
        <v>6</v>
      </c>
      <c r="I7" s="8" t="s">
        <v>538</v>
      </c>
      <c r="K7" s="886" t="s">
        <v>1155</v>
      </c>
      <c r="L7" s="886"/>
      <c r="M7" s="886"/>
      <c r="N7" s="886"/>
      <c r="O7" s="886"/>
      <c r="P7" s="886"/>
      <c r="Q7" s="886"/>
    </row>
    <row r="8" spans="1:17" ht="45" customHeight="1">
      <c r="A8" s="885">
        <v>1</v>
      </c>
      <c r="B8" s="889" t="s">
        <v>539</v>
      </c>
      <c r="C8" s="296">
        <v>1150</v>
      </c>
      <c r="D8" s="186" t="s">
        <v>539</v>
      </c>
      <c r="E8" s="889" t="s">
        <v>540</v>
      </c>
      <c r="F8" s="57">
        <v>1150</v>
      </c>
      <c r="G8" s="424">
        <v>1000</v>
      </c>
      <c r="H8" s="424"/>
      <c r="I8" s="56">
        <f>G8*H8</f>
        <v>0</v>
      </c>
      <c r="K8" s="886" t="s">
        <v>1156</v>
      </c>
      <c r="L8" s="886"/>
      <c r="M8" s="886"/>
      <c r="N8" s="886"/>
      <c r="O8" s="886"/>
      <c r="P8" s="886"/>
      <c r="Q8" s="886"/>
    </row>
    <row r="9" spans="1:17" ht="59.25" customHeight="1">
      <c r="A9" s="885"/>
      <c r="B9" s="889"/>
      <c r="C9" s="296">
        <v>750</v>
      </c>
      <c r="D9" s="186" t="s">
        <v>539</v>
      </c>
      <c r="E9" s="889"/>
      <c r="F9" s="57">
        <v>750</v>
      </c>
      <c r="G9" s="424">
        <v>600</v>
      </c>
      <c r="H9" s="424"/>
      <c r="I9" s="56">
        <f>G9*H9</f>
        <v>0</v>
      </c>
      <c r="K9" s="886" t="s">
        <v>1157</v>
      </c>
      <c r="L9" s="886"/>
      <c r="M9" s="886"/>
      <c r="N9" s="886"/>
      <c r="O9" s="886"/>
      <c r="P9" s="886"/>
      <c r="Q9" s="886"/>
    </row>
    <row r="10" spans="1:17" ht="42.75" customHeight="1">
      <c r="A10" s="885"/>
      <c r="B10" s="889"/>
      <c r="C10" s="296" t="s">
        <v>881</v>
      </c>
      <c r="D10" s="186" t="s">
        <v>539</v>
      </c>
      <c r="E10" s="889"/>
      <c r="F10" s="57" t="s">
        <v>469</v>
      </c>
      <c r="G10" s="424">
        <v>500</v>
      </c>
      <c r="H10" s="424"/>
      <c r="I10" s="56">
        <f>G10*H10</f>
        <v>0</v>
      </c>
      <c r="K10" s="886" t="s">
        <v>1161</v>
      </c>
      <c r="L10" s="886"/>
      <c r="M10" s="886"/>
      <c r="N10" s="886"/>
      <c r="O10" s="886"/>
      <c r="P10" s="886"/>
      <c r="Q10" s="886"/>
    </row>
    <row r="11" spans="1:17" ht="34.5" customHeight="1">
      <c r="A11" s="885"/>
      <c r="B11" s="889"/>
      <c r="C11" s="296">
        <v>330</v>
      </c>
      <c r="D11" s="186" t="s">
        <v>539</v>
      </c>
      <c r="E11" s="889"/>
      <c r="F11" s="57">
        <v>330</v>
      </c>
      <c r="G11" s="424">
        <v>250</v>
      </c>
      <c r="H11" s="424"/>
      <c r="I11" s="56">
        <f>G11*H11</f>
        <v>0</v>
      </c>
      <c r="K11" s="886" t="s">
        <v>1162</v>
      </c>
      <c r="L11" s="886"/>
      <c r="M11" s="886"/>
      <c r="N11" s="886"/>
      <c r="O11" s="886"/>
      <c r="P11" s="886"/>
      <c r="Q11" s="886"/>
    </row>
    <row r="12" spans="1:17" ht="21" customHeight="1">
      <c r="A12" s="885"/>
      <c r="B12" s="889"/>
      <c r="C12" s="296">
        <v>220</v>
      </c>
      <c r="D12" s="186" t="s">
        <v>539</v>
      </c>
      <c r="E12" s="889"/>
      <c r="F12" s="57">
        <v>220</v>
      </c>
      <c r="G12" s="424">
        <v>210</v>
      </c>
      <c r="H12" s="424"/>
      <c r="I12" s="56">
        <f aca="true" t="shared" si="0" ref="I12:I49">G12*H12</f>
        <v>0</v>
      </c>
      <c r="K12" s="886" t="s">
        <v>1158</v>
      </c>
      <c r="L12" s="886"/>
      <c r="M12" s="886"/>
      <c r="N12" s="886"/>
      <c r="O12" s="886"/>
      <c r="P12" s="886"/>
      <c r="Q12" s="886"/>
    </row>
    <row r="13" spans="1:17" ht="30" customHeight="1">
      <c r="A13" s="885"/>
      <c r="B13" s="889"/>
      <c r="C13" s="296" t="s">
        <v>885</v>
      </c>
      <c r="D13" s="186" t="s">
        <v>539</v>
      </c>
      <c r="E13" s="889"/>
      <c r="F13" s="57" t="s">
        <v>478</v>
      </c>
      <c r="G13" s="424">
        <v>105</v>
      </c>
      <c r="H13" s="424"/>
      <c r="I13" s="56">
        <f t="shared" si="0"/>
        <v>0</v>
      </c>
      <c r="K13" s="886" t="s">
        <v>1159</v>
      </c>
      <c r="L13" s="886"/>
      <c r="M13" s="886"/>
      <c r="N13" s="886"/>
      <c r="O13" s="886"/>
      <c r="P13" s="886"/>
      <c r="Q13" s="886"/>
    </row>
    <row r="14" spans="1:9" ht="11.25">
      <c r="A14" s="885"/>
      <c r="B14" s="889"/>
      <c r="C14" s="296">
        <v>35</v>
      </c>
      <c r="D14" s="186" t="s">
        <v>539</v>
      </c>
      <c r="E14" s="889"/>
      <c r="F14" s="57">
        <v>35</v>
      </c>
      <c r="G14" s="424">
        <v>75</v>
      </c>
      <c r="H14" s="424">
        <v>2</v>
      </c>
      <c r="I14" s="56">
        <f t="shared" si="0"/>
        <v>150</v>
      </c>
    </row>
    <row r="15" spans="1:9" ht="17.25" customHeight="1">
      <c r="A15" s="885">
        <v>2</v>
      </c>
      <c r="B15" s="889" t="s">
        <v>541</v>
      </c>
      <c r="C15" s="296">
        <v>1150</v>
      </c>
      <c r="D15" s="186" t="s">
        <v>541</v>
      </c>
      <c r="E15" s="889" t="s">
        <v>542</v>
      </c>
      <c r="F15" s="57">
        <v>1150</v>
      </c>
      <c r="G15" s="424">
        <v>60</v>
      </c>
      <c r="H15" s="424"/>
      <c r="I15" s="56">
        <f t="shared" si="0"/>
        <v>0</v>
      </c>
    </row>
    <row r="16" spans="1:9" ht="11.25">
      <c r="A16" s="885"/>
      <c r="B16" s="889"/>
      <c r="C16" s="296">
        <v>750</v>
      </c>
      <c r="D16" s="187" t="s">
        <v>541</v>
      </c>
      <c r="E16" s="889"/>
      <c r="F16" s="57">
        <v>750</v>
      </c>
      <c r="G16" s="424">
        <v>43</v>
      </c>
      <c r="H16" s="424"/>
      <c r="I16" s="56">
        <f t="shared" si="0"/>
        <v>0</v>
      </c>
    </row>
    <row r="17" spans="1:9" ht="11.25">
      <c r="A17" s="885"/>
      <c r="B17" s="889"/>
      <c r="C17" s="296" t="s">
        <v>881</v>
      </c>
      <c r="D17" s="186" t="s">
        <v>541</v>
      </c>
      <c r="E17" s="889"/>
      <c r="F17" s="57" t="s">
        <v>469</v>
      </c>
      <c r="G17" s="424">
        <v>28</v>
      </c>
      <c r="H17" s="424"/>
      <c r="I17" s="56">
        <f t="shared" si="0"/>
        <v>0</v>
      </c>
    </row>
    <row r="18" spans="1:9" ht="11.25">
      <c r="A18" s="885"/>
      <c r="B18" s="889"/>
      <c r="C18" s="296">
        <v>330</v>
      </c>
      <c r="D18" s="186" t="s">
        <v>541</v>
      </c>
      <c r="E18" s="889"/>
      <c r="F18" s="57">
        <v>330</v>
      </c>
      <c r="G18" s="424">
        <v>18</v>
      </c>
      <c r="H18" s="424"/>
      <c r="I18" s="56">
        <f t="shared" si="0"/>
        <v>0</v>
      </c>
    </row>
    <row r="19" spans="1:9" ht="11.25">
      <c r="A19" s="885"/>
      <c r="B19" s="889"/>
      <c r="C19" s="296">
        <v>220</v>
      </c>
      <c r="D19" s="186" t="s">
        <v>541</v>
      </c>
      <c r="E19" s="889"/>
      <c r="F19" s="57">
        <v>220</v>
      </c>
      <c r="G19" s="424">
        <v>14</v>
      </c>
      <c r="H19" s="424"/>
      <c r="I19" s="56">
        <f t="shared" si="0"/>
        <v>0</v>
      </c>
    </row>
    <row r="20" spans="1:9" ht="11.25">
      <c r="A20" s="885"/>
      <c r="B20" s="889"/>
      <c r="C20" s="296" t="s">
        <v>885</v>
      </c>
      <c r="D20" s="186" t="s">
        <v>541</v>
      </c>
      <c r="E20" s="889"/>
      <c r="F20" s="57" t="s">
        <v>478</v>
      </c>
      <c r="G20" s="424">
        <v>7.8</v>
      </c>
      <c r="H20" s="424"/>
      <c r="I20" s="56">
        <f t="shared" si="0"/>
        <v>0</v>
      </c>
    </row>
    <row r="21" spans="1:9" ht="11.25">
      <c r="A21" s="885"/>
      <c r="B21" s="889"/>
      <c r="C21" s="296">
        <v>35</v>
      </c>
      <c r="D21" s="186" t="s">
        <v>541</v>
      </c>
      <c r="E21" s="889"/>
      <c r="F21" s="57">
        <v>35</v>
      </c>
      <c r="G21" s="424">
        <v>2.1</v>
      </c>
      <c r="H21" s="424">
        <v>4</v>
      </c>
      <c r="I21" s="56">
        <f t="shared" si="0"/>
        <v>8.4</v>
      </c>
    </row>
    <row r="22" spans="1:9" ht="11.25">
      <c r="A22" s="885"/>
      <c r="B22" s="889"/>
      <c r="C22" s="296" t="s">
        <v>891</v>
      </c>
      <c r="D22" s="186" t="s">
        <v>541</v>
      </c>
      <c r="E22" s="889"/>
      <c r="F22" s="188" t="s">
        <v>543</v>
      </c>
      <c r="G22" s="424">
        <v>1</v>
      </c>
      <c r="H22" s="424"/>
      <c r="I22" s="56">
        <f t="shared" si="0"/>
        <v>0</v>
      </c>
    </row>
    <row r="23" spans="1:9" ht="11.25">
      <c r="A23" s="885">
        <v>3</v>
      </c>
      <c r="B23" s="889" t="s">
        <v>544</v>
      </c>
      <c r="C23" s="296">
        <v>1150</v>
      </c>
      <c r="D23" s="187" t="s">
        <v>544</v>
      </c>
      <c r="E23" s="889" t="s">
        <v>545</v>
      </c>
      <c r="F23" s="57">
        <v>1150</v>
      </c>
      <c r="G23" s="424">
        <v>180</v>
      </c>
      <c r="H23" s="424"/>
      <c r="I23" s="56">
        <f t="shared" si="0"/>
        <v>0</v>
      </c>
    </row>
    <row r="24" spans="1:9" ht="11.25">
      <c r="A24" s="885"/>
      <c r="B24" s="889"/>
      <c r="C24" s="296">
        <v>750</v>
      </c>
      <c r="D24" s="186" t="s">
        <v>544</v>
      </c>
      <c r="E24" s="889"/>
      <c r="F24" s="57">
        <v>750</v>
      </c>
      <c r="G24" s="424">
        <v>130</v>
      </c>
      <c r="H24" s="424"/>
      <c r="I24" s="56">
        <f t="shared" si="0"/>
        <v>0</v>
      </c>
    </row>
    <row r="25" spans="1:9" ht="11.25">
      <c r="A25" s="885"/>
      <c r="B25" s="889"/>
      <c r="C25" s="296" t="s">
        <v>881</v>
      </c>
      <c r="D25" s="186" t="s">
        <v>544</v>
      </c>
      <c r="E25" s="889"/>
      <c r="F25" s="57" t="s">
        <v>469</v>
      </c>
      <c r="G25" s="424">
        <v>88</v>
      </c>
      <c r="H25" s="424"/>
      <c r="I25" s="56">
        <f t="shared" si="0"/>
        <v>0</v>
      </c>
    </row>
    <row r="26" spans="1:9" ht="11.25">
      <c r="A26" s="885"/>
      <c r="B26" s="889"/>
      <c r="C26" s="296">
        <v>330</v>
      </c>
      <c r="D26" s="186" t="s">
        <v>544</v>
      </c>
      <c r="E26" s="889"/>
      <c r="F26" s="57">
        <v>330</v>
      </c>
      <c r="G26" s="424">
        <v>66</v>
      </c>
      <c r="H26" s="424"/>
      <c r="I26" s="56">
        <f t="shared" si="0"/>
        <v>0</v>
      </c>
    </row>
    <row r="27" spans="1:9" ht="11.25">
      <c r="A27" s="885"/>
      <c r="B27" s="889"/>
      <c r="C27" s="296">
        <v>220</v>
      </c>
      <c r="D27" s="186" t="s">
        <v>544</v>
      </c>
      <c r="E27" s="889"/>
      <c r="F27" s="57">
        <v>220</v>
      </c>
      <c r="G27" s="424">
        <v>43</v>
      </c>
      <c r="H27" s="424"/>
      <c r="I27" s="56">
        <f t="shared" si="0"/>
        <v>0</v>
      </c>
    </row>
    <row r="28" spans="1:9" ht="11.25">
      <c r="A28" s="885"/>
      <c r="B28" s="889"/>
      <c r="C28" s="296" t="s">
        <v>885</v>
      </c>
      <c r="D28" s="186" t="s">
        <v>544</v>
      </c>
      <c r="E28" s="889"/>
      <c r="F28" s="57" t="s">
        <v>478</v>
      </c>
      <c r="G28" s="424">
        <v>26</v>
      </c>
      <c r="H28" s="424"/>
      <c r="I28" s="56">
        <f t="shared" si="0"/>
        <v>0</v>
      </c>
    </row>
    <row r="29" spans="1:9" ht="11.25">
      <c r="A29" s="885"/>
      <c r="B29" s="889"/>
      <c r="C29" s="296">
        <v>35</v>
      </c>
      <c r="D29" s="186" t="s">
        <v>544</v>
      </c>
      <c r="E29" s="889"/>
      <c r="F29" s="57">
        <v>35</v>
      </c>
      <c r="G29" s="424">
        <v>11</v>
      </c>
      <c r="H29" s="424"/>
      <c r="I29" s="56">
        <f t="shared" si="0"/>
        <v>0</v>
      </c>
    </row>
    <row r="30" spans="1:9" ht="11.25">
      <c r="A30" s="885"/>
      <c r="B30" s="889"/>
      <c r="C30" s="296" t="s">
        <v>891</v>
      </c>
      <c r="D30" s="186" t="s">
        <v>544</v>
      </c>
      <c r="E30" s="889"/>
      <c r="F30" s="188" t="s">
        <v>543</v>
      </c>
      <c r="G30" s="424">
        <v>5.5</v>
      </c>
      <c r="H30" s="424"/>
      <c r="I30" s="56">
        <f t="shared" si="0"/>
        <v>0</v>
      </c>
    </row>
    <row r="31" spans="1:9" ht="11.25">
      <c r="A31" s="885">
        <v>4</v>
      </c>
      <c r="B31" s="889" t="s">
        <v>546</v>
      </c>
      <c r="C31" s="296">
        <v>220</v>
      </c>
      <c r="D31" s="187" t="s">
        <v>546</v>
      </c>
      <c r="E31" s="889" t="s">
        <v>547</v>
      </c>
      <c r="F31" s="57">
        <v>220</v>
      </c>
      <c r="G31" s="424">
        <v>23</v>
      </c>
      <c r="H31" s="424"/>
      <c r="I31" s="56">
        <f t="shared" si="0"/>
        <v>0</v>
      </c>
    </row>
    <row r="32" spans="1:9" ht="11.25">
      <c r="A32" s="885"/>
      <c r="B32" s="889"/>
      <c r="C32" s="296" t="s">
        <v>885</v>
      </c>
      <c r="D32" s="186" t="s">
        <v>546</v>
      </c>
      <c r="E32" s="889"/>
      <c r="F32" s="57" t="s">
        <v>478</v>
      </c>
      <c r="G32" s="424">
        <v>14</v>
      </c>
      <c r="H32" s="424"/>
      <c r="I32" s="56">
        <f t="shared" si="0"/>
        <v>0</v>
      </c>
    </row>
    <row r="33" spans="1:9" ht="11.25">
      <c r="A33" s="885"/>
      <c r="B33" s="889"/>
      <c r="C33" s="296">
        <v>35</v>
      </c>
      <c r="D33" s="186" t="s">
        <v>546</v>
      </c>
      <c r="E33" s="889"/>
      <c r="F33" s="57">
        <v>35</v>
      </c>
      <c r="G33" s="424">
        <v>6.4</v>
      </c>
      <c r="H33" s="424">
        <v>4</v>
      </c>
      <c r="I33" s="56">
        <f t="shared" si="0"/>
        <v>25.6</v>
      </c>
    </row>
    <row r="34" spans="1:9" ht="11.25">
      <c r="A34" s="885"/>
      <c r="B34" s="889"/>
      <c r="C34" s="296" t="s">
        <v>891</v>
      </c>
      <c r="D34" s="186" t="s">
        <v>546</v>
      </c>
      <c r="E34" s="889"/>
      <c r="F34" s="188" t="s">
        <v>543</v>
      </c>
      <c r="G34" s="424">
        <v>3.1</v>
      </c>
      <c r="H34" s="424">
        <v>105</v>
      </c>
      <c r="I34" s="56">
        <f t="shared" si="0"/>
        <v>325.5</v>
      </c>
    </row>
    <row r="35" spans="1:9" ht="11.25">
      <c r="A35" s="885">
        <v>5</v>
      </c>
      <c r="B35" s="889" t="s">
        <v>548</v>
      </c>
      <c r="C35" s="296" t="s">
        <v>881</v>
      </c>
      <c r="D35" s="187" t="s">
        <v>548</v>
      </c>
      <c r="E35" s="889" t="s">
        <v>542</v>
      </c>
      <c r="F35" s="57" t="s">
        <v>469</v>
      </c>
      <c r="G35" s="424">
        <v>35</v>
      </c>
      <c r="H35" s="424"/>
      <c r="I35" s="56">
        <f t="shared" si="0"/>
        <v>0</v>
      </c>
    </row>
    <row r="36" spans="1:9" ht="12.75" customHeight="1">
      <c r="A36" s="885"/>
      <c r="B36" s="889"/>
      <c r="C36" s="296">
        <v>330</v>
      </c>
      <c r="D36" s="186" t="s">
        <v>548</v>
      </c>
      <c r="E36" s="889"/>
      <c r="F36" s="57">
        <v>330</v>
      </c>
      <c r="G36" s="424">
        <v>24</v>
      </c>
      <c r="H36" s="424"/>
      <c r="I36" s="56">
        <f t="shared" si="0"/>
        <v>0</v>
      </c>
    </row>
    <row r="37" spans="1:9" ht="12.75" customHeight="1">
      <c r="A37" s="885"/>
      <c r="B37" s="889"/>
      <c r="C37" s="296">
        <v>220</v>
      </c>
      <c r="D37" s="186" t="s">
        <v>548</v>
      </c>
      <c r="E37" s="889"/>
      <c r="F37" s="57">
        <v>220</v>
      </c>
      <c r="G37" s="424">
        <v>19</v>
      </c>
      <c r="H37" s="424"/>
      <c r="I37" s="56">
        <f t="shared" si="0"/>
        <v>0</v>
      </c>
    </row>
    <row r="38" spans="1:9" ht="12.75" customHeight="1">
      <c r="A38" s="885"/>
      <c r="B38" s="889"/>
      <c r="C38" s="296" t="s">
        <v>885</v>
      </c>
      <c r="D38" s="186" t="s">
        <v>548</v>
      </c>
      <c r="E38" s="889"/>
      <c r="F38" s="57" t="s">
        <v>478</v>
      </c>
      <c r="G38" s="424">
        <v>9.5</v>
      </c>
      <c r="H38" s="424"/>
      <c r="I38" s="56">
        <f t="shared" si="0"/>
        <v>0</v>
      </c>
    </row>
    <row r="39" spans="1:9" ht="12.75" customHeight="1">
      <c r="A39" s="885"/>
      <c r="B39" s="889"/>
      <c r="C39" s="296">
        <v>35</v>
      </c>
      <c r="D39" s="186" t="s">
        <v>548</v>
      </c>
      <c r="E39" s="889"/>
      <c r="F39" s="57">
        <v>35</v>
      </c>
      <c r="G39" s="424">
        <v>4.7</v>
      </c>
      <c r="H39" s="424"/>
      <c r="I39" s="56">
        <f t="shared" si="0"/>
        <v>0</v>
      </c>
    </row>
    <row r="40" spans="1:9" ht="11.25">
      <c r="A40" s="5">
        <v>6</v>
      </c>
      <c r="B40" s="39" t="s">
        <v>549</v>
      </c>
      <c r="C40" s="296" t="s">
        <v>891</v>
      </c>
      <c r="D40" s="187" t="s">
        <v>549</v>
      </c>
      <c r="E40" s="39" t="s">
        <v>547</v>
      </c>
      <c r="F40" s="188" t="s">
        <v>543</v>
      </c>
      <c r="G40" s="424">
        <v>2.3</v>
      </c>
      <c r="H40" s="424">
        <v>304</v>
      </c>
      <c r="I40" s="56">
        <f t="shared" si="0"/>
        <v>699.1999999999999</v>
      </c>
    </row>
    <row r="41" spans="1:9" ht="33.75">
      <c r="A41" s="5">
        <v>7</v>
      </c>
      <c r="B41" s="39" t="s">
        <v>550</v>
      </c>
      <c r="C41" s="296" t="s">
        <v>891</v>
      </c>
      <c r="D41" s="187" t="s">
        <v>550</v>
      </c>
      <c r="E41" s="39" t="s">
        <v>547</v>
      </c>
      <c r="F41" s="188" t="s">
        <v>543</v>
      </c>
      <c r="G41" s="424">
        <v>26</v>
      </c>
      <c r="H41" s="424"/>
      <c r="I41" s="56">
        <f>G41*H41</f>
        <v>0</v>
      </c>
    </row>
    <row r="42" spans="1:9" ht="11.25">
      <c r="A42" s="5">
        <v>8</v>
      </c>
      <c r="B42" s="39" t="s">
        <v>551</v>
      </c>
      <c r="C42" s="296" t="s">
        <v>891</v>
      </c>
      <c r="D42" s="187" t="s">
        <v>552</v>
      </c>
      <c r="E42" s="39" t="s">
        <v>547</v>
      </c>
      <c r="F42" s="188" t="s">
        <v>543</v>
      </c>
      <c r="G42" s="424">
        <v>48</v>
      </c>
      <c r="H42" s="424"/>
      <c r="I42" s="56">
        <f t="shared" si="0"/>
        <v>0</v>
      </c>
    </row>
    <row r="43" spans="1:9" ht="11.25">
      <c r="A43" s="895">
        <v>9</v>
      </c>
      <c r="B43" s="887" t="s">
        <v>553</v>
      </c>
      <c r="C43" s="296" t="s">
        <v>885</v>
      </c>
      <c r="D43" s="187" t="s">
        <v>553</v>
      </c>
      <c r="E43" s="888" t="s">
        <v>554</v>
      </c>
      <c r="F43" s="57" t="s">
        <v>478</v>
      </c>
      <c r="G43" s="424"/>
      <c r="H43" s="424"/>
      <c r="I43" s="56">
        <f t="shared" si="0"/>
        <v>0</v>
      </c>
    </row>
    <row r="44" spans="1:9" ht="13.5" customHeight="1">
      <c r="A44" s="895"/>
      <c r="B44" s="887"/>
      <c r="C44" s="296">
        <v>35</v>
      </c>
      <c r="D44" s="187" t="s">
        <v>553</v>
      </c>
      <c r="E44" s="888"/>
      <c r="F44" s="57">
        <v>35</v>
      </c>
      <c r="G44" s="424">
        <v>2.4</v>
      </c>
      <c r="H44" s="424"/>
      <c r="I44" s="56">
        <f>G44*H44</f>
        <v>0</v>
      </c>
    </row>
    <row r="45" spans="1:9" ht="11.25">
      <c r="A45" s="895"/>
      <c r="B45" s="887"/>
      <c r="C45" s="296" t="s">
        <v>891</v>
      </c>
      <c r="D45" s="186" t="s">
        <v>553</v>
      </c>
      <c r="E45" s="888"/>
      <c r="F45" s="188" t="s">
        <v>543</v>
      </c>
      <c r="G45" s="424">
        <v>2.4</v>
      </c>
      <c r="H45" s="424"/>
      <c r="I45" s="56">
        <f>G45*H45</f>
        <v>0</v>
      </c>
    </row>
    <row r="46" spans="1:9" ht="22.5">
      <c r="A46" s="5">
        <v>10</v>
      </c>
      <c r="B46" s="39" t="s">
        <v>555</v>
      </c>
      <c r="C46" s="296" t="s">
        <v>891</v>
      </c>
      <c r="D46" s="187" t="s">
        <v>555</v>
      </c>
      <c r="E46" s="39" t="s">
        <v>556</v>
      </c>
      <c r="F46" s="188" t="s">
        <v>543</v>
      </c>
      <c r="G46" s="424">
        <v>2.5</v>
      </c>
      <c r="H46" s="424"/>
      <c r="I46" s="56">
        <f t="shared" si="0"/>
        <v>0</v>
      </c>
    </row>
    <row r="47" spans="1:9" ht="22.5">
      <c r="A47" s="5">
        <v>11</v>
      </c>
      <c r="B47" s="39" t="s">
        <v>557</v>
      </c>
      <c r="C47" s="296" t="s">
        <v>891</v>
      </c>
      <c r="D47" s="187" t="s">
        <v>557</v>
      </c>
      <c r="E47" s="39" t="s">
        <v>558</v>
      </c>
      <c r="F47" s="188" t="s">
        <v>543</v>
      </c>
      <c r="G47" s="424">
        <v>2.3</v>
      </c>
      <c r="H47" s="424">
        <v>26</v>
      </c>
      <c r="I47" s="56">
        <f t="shared" si="0"/>
        <v>59.8</v>
      </c>
    </row>
    <row r="48" spans="1:9" ht="22.5">
      <c r="A48" s="5">
        <v>12</v>
      </c>
      <c r="B48" s="39" t="s">
        <v>559</v>
      </c>
      <c r="C48" s="296" t="s">
        <v>891</v>
      </c>
      <c r="D48" s="187" t="s">
        <v>559</v>
      </c>
      <c r="E48" s="39" t="s">
        <v>558</v>
      </c>
      <c r="F48" s="188" t="s">
        <v>543</v>
      </c>
      <c r="G48" s="424">
        <v>3</v>
      </c>
      <c r="H48" s="424">
        <v>76</v>
      </c>
      <c r="I48" s="56">
        <f t="shared" si="0"/>
        <v>228</v>
      </c>
    </row>
    <row r="49" spans="1:9" ht="33.75">
      <c r="A49" s="5">
        <v>13</v>
      </c>
      <c r="B49" s="39" t="s">
        <v>560</v>
      </c>
      <c r="C49" s="296">
        <v>35</v>
      </c>
      <c r="D49" s="187" t="s">
        <v>560</v>
      </c>
      <c r="E49" s="39" t="s">
        <v>561</v>
      </c>
      <c r="F49" s="57">
        <v>35</v>
      </c>
      <c r="G49" s="424">
        <v>3.5</v>
      </c>
      <c r="H49" s="424"/>
      <c r="I49" s="56">
        <f t="shared" si="0"/>
        <v>0</v>
      </c>
    </row>
    <row r="50" spans="1:9" ht="11.25">
      <c r="A50" s="885" t="s">
        <v>259</v>
      </c>
      <c r="B50" s="891" t="s">
        <v>562</v>
      </c>
      <c r="C50" s="57" t="s">
        <v>28</v>
      </c>
      <c r="D50" s="297"/>
      <c r="E50" s="893"/>
      <c r="F50" s="57" t="s">
        <v>28</v>
      </c>
      <c r="G50" s="425"/>
      <c r="H50" s="425"/>
      <c r="I50" s="182">
        <f>I38+I37+I32+I31+I28+I27+I20+I19+I13+I12+I43+I10+I11</f>
        <v>0</v>
      </c>
    </row>
    <row r="51" spans="1:9" ht="11.25">
      <c r="A51" s="885"/>
      <c r="B51" s="891"/>
      <c r="C51" s="57" t="s">
        <v>29</v>
      </c>
      <c r="D51" s="297"/>
      <c r="E51" s="893"/>
      <c r="F51" s="57" t="s">
        <v>29</v>
      </c>
      <c r="G51" s="425"/>
      <c r="H51" s="425"/>
      <c r="I51" s="182">
        <f>I14+I21+I29+I33+I39+I44+I49</f>
        <v>184</v>
      </c>
    </row>
    <row r="52" spans="1:9" ht="11.25">
      <c r="A52" s="885"/>
      <c r="B52" s="891"/>
      <c r="C52" s="57" t="s">
        <v>30</v>
      </c>
      <c r="D52" s="297"/>
      <c r="E52" s="893"/>
      <c r="F52" s="57" t="s">
        <v>30</v>
      </c>
      <c r="G52" s="425"/>
      <c r="H52" s="425"/>
      <c r="I52" s="182">
        <f>I22+I30+I34+I40+I41+I42+I45+I46+I47+I48</f>
        <v>1312.4999999999998</v>
      </c>
    </row>
    <row r="53" spans="1:9" ht="12" thickBot="1">
      <c r="A53" s="890"/>
      <c r="B53" s="892"/>
      <c r="C53" s="152" t="s">
        <v>31</v>
      </c>
      <c r="D53" s="299"/>
      <c r="E53" s="894"/>
      <c r="F53" s="152" t="s">
        <v>31</v>
      </c>
      <c r="G53" s="427"/>
      <c r="H53" s="427"/>
      <c r="I53" s="236">
        <f>SUM(I8:I49)-I50-I51-I52</f>
        <v>0</v>
      </c>
    </row>
    <row r="54" spans="2:9" s="14" customFormat="1" ht="11.25">
      <c r="B54" s="61"/>
      <c r="C54" s="61"/>
      <c r="D54" s="61"/>
      <c r="E54" s="61"/>
      <c r="I54" s="179"/>
    </row>
    <row r="55" spans="2:9" s="14" customFormat="1" ht="11.25">
      <c r="B55" s="61"/>
      <c r="C55" s="61"/>
      <c r="D55" s="61"/>
      <c r="E55" s="61"/>
      <c r="I55" s="179"/>
    </row>
    <row r="56" spans="1:9" s="14" customFormat="1" ht="11.25">
      <c r="A56" s="14" t="s">
        <v>1356</v>
      </c>
      <c r="I56" s="179"/>
    </row>
    <row r="57" s="14" customFormat="1" ht="11.25">
      <c r="I57" s="452"/>
    </row>
    <row r="58" spans="1:9" s="14" customFormat="1" ht="11.25">
      <c r="A58" s="14" t="s">
        <v>1346</v>
      </c>
      <c r="I58" s="179"/>
    </row>
    <row r="59" spans="2:9" s="14" customFormat="1" ht="11.25">
      <c r="B59" s="61"/>
      <c r="C59" s="61"/>
      <c r="D59" s="61"/>
      <c r="E59" s="61"/>
      <c r="I59" s="179"/>
    </row>
    <row r="60" spans="2:9" s="14" customFormat="1" ht="11.25">
      <c r="B60" s="61"/>
      <c r="C60" s="61"/>
      <c r="D60" s="61"/>
      <c r="E60" s="61"/>
      <c r="I60" s="179"/>
    </row>
    <row r="61" spans="2:9" s="14" customFormat="1" ht="11.25">
      <c r="B61" s="61"/>
      <c r="C61" s="61"/>
      <c r="D61" s="61"/>
      <c r="E61" s="61"/>
      <c r="I61" s="179"/>
    </row>
    <row r="62" spans="2:9" s="14" customFormat="1" ht="11.25">
      <c r="B62" s="61"/>
      <c r="C62" s="61"/>
      <c r="D62" s="61"/>
      <c r="E62" s="61"/>
      <c r="I62" s="179"/>
    </row>
    <row r="63" spans="2:9" s="14" customFormat="1" ht="11.25">
      <c r="B63" s="61"/>
      <c r="C63" s="61"/>
      <c r="D63" s="61"/>
      <c r="E63" s="61"/>
      <c r="I63" s="179"/>
    </row>
    <row r="64" spans="2:9" s="14" customFormat="1" ht="11.25">
      <c r="B64" s="61"/>
      <c r="C64" s="61"/>
      <c r="D64" s="61"/>
      <c r="E64" s="61"/>
      <c r="I64" s="179"/>
    </row>
    <row r="65" spans="2:9" s="14" customFormat="1" ht="11.25">
      <c r="B65" s="61"/>
      <c r="C65" s="61"/>
      <c r="D65" s="61"/>
      <c r="E65" s="61"/>
      <c r="I65" s="179"/>
    </row>
    <row r="66" spans="2:9" s="14" customFormat="1" ht="11.25">
      <c r="B66" s="61"/>
      <c r="C66" s="61"/>
      <c r="D66" s="61"/>
      <c r="E66" s="61"/>
      <c r="I66" s="179"/>
    </row>
    <row r="67" spans="2:9" s="14" customFormat="1" ht="11.25">
      <c r="B67" s="61"/>
      <c r="C67" s="61"/>
      <c r="D67" s="61"/>
      <c r="E67" s="61"/>
      <c r="I67" s="179"/>
    </row>
    <row r="68" spans="2:9" s="14" customFormat="1" ht="11.25">
      <c r="B68" s="61"/>
      <c r="C68" s="61"/>
      <c r="D68" s="61"/>
      <c r="E68" s="61"/>
      <c r="I68" s="179"/>
    </row>
    <row r="69" spans="2:9" s="14" customFormat="1" ht="11.25">
      <c r="B69" s="61"/>
      <c r="C69" s="61"/>
      <c r="D69" s="61"/>
      <c r="E69" s="61"/>
      <c r="I69" s="179"/>
    </row>
    <row r="70" spans="2:9" s="14" customFormat="1" ht="11.25">
      <c r="B70" s="61"/>
      <c r="C70" s="61"/>
      <c r="D70" s="61"/>
      <c r="E70" s="61"/>
      <c r="I70" s="179"/>
    </row>
    <row r="71" spans="2:9" s="14" customFormat="1" ht="11.25">
      <c r="B71" s="61"/>
      <c r="C71" s="61"/>
      <c r="D71" s="61"/>
      <c r="E71" s="61"/>
      <c r="I71" s="179"/>
    </row>
    <row r="72" spans="2:9" s="14" customFormat="1" ht="11.25">
      <c r="B72" s="61"/>
      <c r="C72" s="61"/>
      <c r="D72" s="61"/>
      <c r="E72" s="61"/>
      <c r="I72" s="179"/>
    </row>
    <row r="73" spans="2:9" s="14" customFormat="1" ht="11.25">
      <c r="B73" s="61"/>
      <c r="C73" s="61"/>
      <c r="D73" s="61"/>
      <c r="E73" s="61"/>
      <c r="I73" s="179"/>
    </row>
    <row r="74" spans="2:9" s="14" customFormat="1" ht="11.25">
      <c r="B74" s="61"/>
      <c r="C74" s="61"/>
      <c r="D74" s="61"/>
      <c r="E74" s="61"/>
      <c r="I74" s="179"/>
    </row>
    <row r="75" spans="2:9" s="14" customFormat="1" ht="11.25">
      <c r="B75" s="61"/>
      <c r="C75" s="61"/>
      <c r="D75" s="61"/>
      <c r="E75" s="61"/>
      <c r="I75" s="179"/>
    </row>
    <row r="76" spans="2:9" s="14" customFormat="1" ht="11.25">
      <c r="B76" s="61"/>
      <c r="C76" s="61"/>
      <c r="D76" s="61"/>
      <c r="E76" s="61"/>
      <c r="I76" s="179"/>
    </row>
    <row r="77" spans="2:9" s="14" customFormat="1" ht="11.25">
      <c r="B77" s="61"/>
      <c r="C77" s="61"/>
      <c r="D77" s="61"/>
      <c r="E77" s="61"/>
      <c r="I77" s="179"/>
    </row>
    <row r="78" spans="2:9" s="14" customFormat="1" ht="11.25">
      <c r="B78" s="61"/>
      <c r="C78" s="61"/>
      <c r="D78" s="61"/>
      <c r="E78" s="61"/>
      <c r="I78" s="179"/>
    </row>
    <row r="79" spans="2:9" s="14" customFormat="1" ht="11.25">
      <c r="B79" s="61"/>
      <c r="C79" s="61"/>
      <c r="D79" s="61"/>
      <c r="E79" s="61"/>
      <c r="I79" s="179"/>
    </row>
    <row r="80" spans="2:9" s="14" customFormat="1" ht="11.25">
      <c r="B80" s="61"/>
      <c r="C80" s="61"/>
      <c r="D80" s="61"/>
      <c r="E80" s="61"/>
      <c r="I80" s="179"/>
    </row>
    <row r="81" spans="2:9" s="14" customFormat="1" ht="11.25">
      <c r="B81" s="61"/>
      <c r="C81" s="61"/>
      <c r="D81" s="61"/>
      <c r="E81" s="61"/>
      <c r="I81" s="179"/>
    </row>
    <row r="82" spans="2:9" s="14" customFormat="1" ht="11.25">
      <c r="B82" s="61"/>
      <c r="C82" s="61"/>
      <c r="D82" s="61"/>
      <c r="E82" s="61"/>
      <c r="I82" s="179"/>
    </row>
    <row r="83" spans="2:9" s="14" customFormat="1" ht="11.25">
      <c r="B83" s="61"/>
      <c r="C83" s="61"/>
      <c r="D83" s="61"/>
      <c r="E83" s="61"/>
      <c r="I83" s="179"/>
    </row>
    <row r="84" spans="2:9" s="14" customFormat="1" ht="11.25">
      <c r="B84" s="61"/>
      <c r="C84" s="61"/>
      <c r="D84" s="61"/>
      <c r="E84" s="61"/>
      <c r="I84" s="179"/>
    </row>
    <row r="85" spans="2:9" s="14" customFormat="1" ht="11.25">
      <c r="B85" s="61"/>
      <c r="C85" s="61"/>
      <c r="D85" s="61"/>
      <c r="E85" s="61"/>
      <c r="I85" s="179"/>
    </row>
    <row r="86" spans="2:9" s="14" customFormat="1" ht="11.25">
      <c r="B86" s="61"/>
      <c r="C86" s="61"/>
      <c r="D86" s="61"/>
      <c r="E86" s="61"/>
      <c r="I86" s="179"/>
    </row>
    <row r="87" spans="2:9" s="14" customFormat="1" ht="11.25">
      <c r="B87" s="61"/>
      <c r="C87" s="61"/>
      <c r="D87" s="61"/>
      <c r="E87" s="61"/>
      <c r="I87" s="179"/>
    </row>
    <row r="88" spans="2:9" s="14" customFormat="1" ht="11.25">
      <c r="B88" s="61"/>
      <c r="C88" s="61"/>
      <c r="D88" s="61"/>
      <c r="E88" s="61"/>
      <c r="I88" s="179"/>
    </row>
    <row r="89" spans="2:9" s="14" customFormat="1" ht="11.25">
      <c r="B89" s="61"/>
      <c r="C89" s="61"/>
      <c r="D89" s="61"/>
      <c r="E89" s="61"/>
      <c r="I89" s="179"/>
    </row>
    <row r="90" spans="2:9" s="14" customFormat="1" ht="11.25">
      <c r="B90" s="61"/>
      <c r="C90" s="61"/>
      <c r="D90" s="61"/>
      <c r="E90" s="61"/>
      <c r="I90" s="179"/>
    </row>
    <row r="91" spans="2:9" s="14" customFormat="1" ht="11.25">
      <c r="B91" s="61"/>
      <c r="C91" s="61"/>
      <c r="D91" s="61"/>
      <c r="E91" s="61"/>
      <c r="I91" s="179"/>
    </row>
    <row r="92" spans="2:9" s="14" customFormat="1" ht="11.25">
      <c r="B92" s="61"/>
      <c r="C92" s="61"/>
      <c r="D92" s="61"/>
      <c r="E92" s="61"/>
      <c r="I92" s="179"/>
    </row>
    <row r="93" spans="2:9" s="14" customFormat="1" ht="11.25">
      <c r="B93" s="61"/>
      <c r="C93" s="61"/>
      <c r="D93" s="61"/>
      <c r="E93" s="61"/>
      <c r="I93" s="179"/>
    </row>
    <row r="94" spans="2:9" s="14" customFormat="1" ht="11.25">
      <c r="B94" s="61"/>
      <c r="C94" s="61"/>
      <c r="D94" s="61"/>
      <c r="E94" s="61"/>
      <c r="I94" s="179"/>
    </row>
    <row r="95" spans="2:9" s="14" customFormat="1" ht="11.25">
      <c r="B95" s="61"/>
      <c r="C95" s="61"/>
      <c r="D95" s="61"/>
      <c r="E95" s="61"/>
      <c r="I95" s="179"/>
    </row>
    <row r="96" spans="2:9" s="14" customFormat="1" ht="11.25">
      <c r="B96" s="61"/>
      <c r="C96" s="61"/>
      <c r="D96" s="61"/>
      <c r="E96" s="61"/>
      <c r="I96" s="179"/>
    </row>
    <row r="97" spans="2:9" s="14" customFormat="1" ht="11.25">
      <c r="B97" s="61"/>
      <c r="C97" s="61"/>
      <c r="D97" s="61"/>
      <c r="E97" s="61"/>
      <c r="I97" s="179"/>
    </row>
    <row r="98" spans="2:9" s="14" customFormat="1" ht="11.25">
      <c r="B98" s="61"/>
      <c r="C98" s="61"/>
      <c r="D98" s="61"/>
      <c r="E98" s="61"/>
      <c r="I98" s="179"/>
    </row>
    <row r="99" spans="2:9" s="14" customFormat="1" ht="11.25">
      <c r="B99" s="61"/>
      <c r="C99" s="61"/>
      <c r="D99" s="61"/>
      <c r="E99" s="61"/>
      <c r="I99" s="179"/>
    </row>
    <row r="100" spans="2:9" s="14" customFormat="1" ht="11.25">
      <c r="B100" s="61"/>
      <c r="C100" s="61"/>
      <c r="D100" s="61"/>
      <c r="E100" s="61"/>
      <c r="I100" s="179"/>
    </row>
    <row r="101" spans="2:9" s="14" customFormat="1" ht="11.25">
      <c r="B101" s="61"/>
      <c r="C101" s="61"/>
      <c r="D101" s="61"/>
      <c r="E101" s="61"/>
      <c r="I101" s="179"/>
    </row>
    <row r="102" spans="2:9" s="14" customFormat="1" ht="11.25">
      <c r="B102" s="61"/>
      <c r="C102" s="61"/>
      <c r="D102" s="61"/>
      <c r="E102" s="61"/>
      <c r="I102" s="179"/>
    </row>
    <row r="103" spans="2:9" s="14" customFormat="1" ht="11.25">
      <c r="B103" s="61"/>
      <c r="C103" s="61"/>
      <c r="D103" s="61"/>
      <c r="E103" s="61"/>
      <c r="I103" s="179"/>
    </row>
    <row r="104" spans="2:9" s="14" customFormat="1" ht="11.25">
      <c r="B104" s="61"/>
      <c r="C104" s="61"/>
      <c r="D104" s="61"/>
      <c r="E104" s="61"/>
      <c r="I104" s="179"/>
    </row>
    <row r="105" spans="2:9" s="14" customFormat="1" ht="11.25">
      <c r="B105" s="61"/>
      <c r="C105" s="61"/>
      <c r="D105" s="61"/>
      <c r="E105" s="61"/>
      <c r="I105" s="179"/>
    </row>
    <row r="106" spans="2:9" s="14" customFormat="1" ht="11.25">
      <c r="B106" s="61"/>
      <c r="C106" s="61"/>
      <c r="D106" s="61"/>
      <c r="E106" s="61"/>
      <c r="I106" s="179"/>
    </row>
    <row r="107" spans="2:9" s="14" customFormat="1" ht="11.25">
      <c r="B107" s="61"/>
      <c r="C107" s="61"/>
      <c r="D107" s="61"/>
      <c r="E107" s="61"/>
      <c r="I107" s="179"/>
    </row>
    <row r="108" spans="2:9" s="14" customFormat="1" ht="11.25">
      <c r="B108" s="61"/>
      <c r="C108" s="61"/>
      <c r="D108" s="61"/>
      <c r="E108" s="61"/>
      <c r="I108" s="179"/>
    </row>
    <row r="109" spans="2:9" s="14" customFormat="1" ht="11.25">
      <c r="B109" s="61"/>
      <c r="C109" s="61"/>
      <c r="D109" s="61"/>
      <c r="E109" s="61"/>
      <c r="I109" s="179"/>
    </row>
    <row r="110" spans="2:9" s="14" customFormat="1" ht="11.25">
      <c r="B110" s="61"/>
      <c r="C110" s="61"/>
      <c r="D110" s="61"/>
      <c r="E110" s="61"/>
      <c r="I110" s="179"/>
    </row>
    <row r="111" spans="2:9" s="14" customFormat="1" ht="11.25">
      <c r="B111" s="61"/>
      <c r="C111" s="61"/>
      <c r="D111" s="61"/>
      <c r="E111" s="61"/>
      <c r="I111" s="179"/>
    </row>
    <row r="112" spans="2:9" s="14" customFormat="1" ht="11.25">
      <c r="B112" s="61"/>
      <c r="C112" s="61"/>
      <c r="D112" s="61"/>
      <c r="E112" s="61"/>
      <c r="I112" s="179"/>
    </row>
    <row r="113" spans="2:9" s="14" customFormat="1" ht="11.25">
      <c r="B113" s="61"/>
      <c r="C113" s="61"/>
      <c r="D113" s="61"/>
      <c r="E113" s="61"/>
      <c r="I113" s="179"/>
    </row>
    <row r="114" spans="2:9" s="14" customFormat="1" ht="11.25">
      <c r="B114" s="61"/>
      <c r="C114" s="61"/>
      <c r="D114" s="61"/>
      <c r="E114" s="61"/>
      <c r="I114" s="179"/>
    </row>
    <row r="115" spans="2:9" s="14" customFormat="1" ht="11.25">
      <c r="B115" s="61"/>
      <c r="C115" s="61"/>
      <c r="D115" s="61"/>
      <c r="E115" s="61"/>
      <c r="I115" s="179"/>
    </row>
    <row r="116" spans="2:9" s="14" customFormat="1" ht="11.25">
      <c r="B116" s="61"/>
      <c r="C116" s="61"/>
      <c r="D116" s="61"/>
      <c r="E116" s="61"/>
      <c r="I116" s="179"/>
    </row>
    <row r="117" spans="2:9" s="14" customFormat="1" ht="11.25">
      <c r="B117" s="61"/>
      <c r="C117" s="61"/>
      <c r="D117" s="61"/>
      <c r="E117" s="61"/>
      <c r="I117" s="179"/>
    </row>
    <row r="118" spans="2:9" s="14" customFormat="1" ht="11.25">
      <c r="B118" s="61"/>
      <c r="C118" s="61"/>
      <c r="D118" s="61"/>
      <c r="E118" s="61"/>
      <c r="I118" s="179"/>
    </row>
    <row r="119" spans="2:9" s="14" customFormat="1" ht="11.25">
      <c r="B119" s="61"/>
      <c r="C119" s="61"/>
      <c r="D119" s="61"/>
      <c r="E119" s="61"/>
      <c r="I119" s="179"/>
    </row>
    <row r="120" spans="2:9" s="14" customFormat="1" ht="11.25">
      <c r="B120" s="61"/>
      <c r="C120" s="61"/>
      <c r="D120" s="61"/>
      <c r="E120" s="61"/>
      <c r="I120" s="179"/>
    </row>
    <row r="121" spans="2:9" s="14" customFormat="1" ht="11.25">
      <c r="B121" s="61"/>
      <c r="C121" s="61"/>
      <c r="D121" s="61"/>
      <c r="E121" s="61"/>
      <c r="I121" s="179"/>
    </row>
    <row r="122" spans="2:9" s="14" customFormat="1" ht="11.25">
      <c r="B122" s="61"/>
      <c r="C122" s="61"/>
      <c r="D122" s="61"/>
      <c r="E122" s="61"/>
      <c r="I122" s="179"/>
    </row>
    <row r="123" spans="2:9" s="14" customFormat="1" ht="11.25">
      <c r="B123" s="61"/>
      <c r="C123" s="61"/>
      <c r="D123" s="61"/>
      <c r="E123" s="61"/>
      <c r="I123" s="179"/>
    </row>
    <row r="124" spans="2:9" s="14" customFormat="1" ht="11.25">
      <c r="B124" s="61"/>
      <c r="C124" s="61"/>
      <c r="D124" s="61"/>
      <c r="E124" s="61"/>
      <c r="I124" s="179"/>
    </row>
    <row r="125" spans="2:9" s="14" customFormat="1" ht="11.25">
      <c r="B125" s="61"/>
      <c r="C125" s="61"/>
      <c r="D125" s="61"/>
      <c r="E125" s="61"/>
      <c r="I125" s="179"/>
    </row>
    <row r="126" spans="2:9" s="14" customFormat="1" ht="11.25">
      <c r="B126" s="61"/>
      <c r="C126" s="61"/>
      <c r="D126" s="61"/>
      <c r="E126" s="61"/>
      <c r="I126" s="179"/>
    </row>
    <row r="127" spans="2:9" s="14" customFormat="1" ht="11.25">
      <c r="B127" s="61"/>
      <c r="C127" s="61"/>
      <c r="D127" s="61"/>
      <c r="E127" s="61"/>
      <c r="I127" s="179"/>
    </row>
    <row r="128" spans="2:9" s="14" customFormat="1" ht="11.25">
      <c r="B128" s="61"/>
      <c r="C128" s="61"/>
      <c r="D128" s="61"/>
      <c r="E128" s="61"/>
      <c r="I128" s="179"/>
    </row>
    <row r="129" spans="2:9" s="14" customFormat="1" ht="11.25">
      <c r="B129" s="61"/>
      <c r="C129" s="61"/>
      <c r="D129" s="61"/>
      <c r="E129" s="61"/>
      <c r="I129" s="179"/>
    </row>
    <row r="130" spans="2:9" s="14" customFormat="1" ht="11.25">
      <c r="B130" s="61"/>
      <c r="C130" s="61"/>
      <c r="D130" s="61"/>
      <c r="E130" s="61"/>
      <c r="I130" s="179"/>
    </row>
    <row r="131" spans="2:9" s="14" customFormat="1" ht="11.25">
      <c r="B131" s="61"/>
      <c r="C131" s="61"/>
      <c r="D131" s="61"/>
      <c r="E131" s="61"/>
      <c r="I131" s="179"/>
    </row>
    <row r="132" spans="2:9" s="14" customFormat="1" ht="11.25">
      <c r="B132" s="61"/>
      <c r="C132" s="61"/>
      <c r="D132" s="61"/>
      <c r="E132" s="61"/>
      <c r="I132" s="179"/>
    </row>
    <row r="133" spans="2:9" s="14" customFormat="1" ht="11.25">
      <c r="B133" s="61"/>
      <c r="C133" s="61"/>
      <c r="D133" s="61"/>
      <c r="E133" s="61"/>
      <c r="I133" s="179"/>
    </row>
    <row r="134" spans="2:9" s="14" customFormat="1" ht="11.25">
      <c r="B134" s="61"/>
      <c r="C134" s="61"/>
      <c r="D134" s="61"/>
      <c r="E134" s="61"/>
      <c r="I134" s="179"/>
    </row>
    <row r="135" spans="2:9" s="14" customFormat="1" ht="11.25">
      <c r="B135" s="61"/>
      <c r="C135" s="61"/>
      <c r="D135" s="61"/>
      <c r="E135" s="61"/>
      <c r="I135" s="179"/>
    </row>
    <row r="136" spans="2:9" s="14" customFormat="1" ht="11.25">
      <c r="B136" s="61"/>
      <c r="C136" s="61"/>
      <c r="D136" s="61"/>
      <c r="E136" s="61"/>
      <c r="I136" s="179"/>
    </row>
    <row r="137" spans="2:9" s="14" customFormat="1" ht="11.25">
      <c r="B137" s="61"/>
      <c r="C137" s="61"/>
      <c r="D137" s="61"/>
      <c r="E137" s="61"/>
      <c r="I137" s="179"/>
    </row>
    <row r="138" spans="2:9" s="14" customFormat="1" ht="11.25">
      <c r="B138" s="61"/>
      <c r="C138" s="61"/>
      <c r="D138" s="61"/>
      <c r="E138" s="61"/>
      <c r="I138" s="179"/>
    </row>
    <row r="139" spans="2:9" s="14" customFormat="1" ht="11.25">
      <c r="B139" s="61"/>
      <c r="C139" s="61"/>
      <c r="D139" s="61"/>
      <c r="E139" s="61"/>
      <c r="I139" s="179"/>
    </row>
    <row r="140" spans="2:9" s="14" customFormat="1" ht="11.25">
      <c r="B140" s="61"/>
      <c r="C140" s="61"/>
      <c r="D140" s="61"/>
      <c r="E140" s="61"/>
      <c r="I140" s="179"/>
    </row>
    <row r="141" spans="2:9" s="14" customFormat="1" ht="11.25">
      <c r="B141" s="61"/>
      <c r="C141" s="61"/>
      <c r="D141" s="61"/>
      <c r="E141" s="61"/>
      <c r="I141" s="179"/>
    </row>
    <row r="142" spans="2:9" s="14" customFormat="1" ht="11.25">
      <c r="B142" s="61"/>
      <c r="C142" s="61"/>
      <c r="D142" s="61"/>
      <c r="E142" s="61"/>
      <c r="I142" s="179"/>
    </row>
    <row r="143" spans="2:9" s="14" customFormat="1" ht="11.25">
      <c r="B143" s="61"/>
      <c r="C143" s="61"/>
      <c r="D143" s="61"/>
      <c r="E143" s="61"/>
      <c r="I143" s="179"/>
    </row>
    <row r="144" spans="2:9" s="14" customFormat="1" ht="11.25">
      <c r="B144" s="61"/>
      <c r="C144" s="61"/>
      <c r="D144" s="61"/>
      <c r="E144" s="61"/>
      <c r="I144" s="179"/>
    </row>
    <row r="145" spans="2:9" s="14" customFormat="1" ht="11.25">
      <c r="B145" s="61"/>
      <c r="C145" s="61"/>
      <c r="D145" s="61"/>
      <c r="E145" s="61"/>
      <c r="I145" s="179"/>
    </row>
    <row r="146" spans="2:9" s="14" customFormat="1" ht="11.25">
      <c r="B146" s="61"/>
      <c r="C146" s="61"/>
      <c r="D146" s="61"/>
      <c r="E146" s="61"/>
      <c r="I146" s="179"/>
    </row>
    <row r="147" spans="2:9" s="14" customFormat="1" ht="11.25">
      <c r="B147" s="61"/>
      <c r="C147" s="61"/>
      <c r="D147" s="61"/>
      <c r="E147" s="61"/>
      <c r="I147" s="179"/>
    </row>
    <row r="148" spans="2:9" s="14" customFormat="1" ht="11.25">
      <c r="B148" s="61"/>
      <c r="C148" s="61"/>
      <c r="D148" s="61"/>
      <c r="E148" s="61"/>
      <c r="I148" s="179"/>
    </row>
    <row r="149" spans="2:9" s="14" customFormat="1" ht="11.25">
      <c r="B149" s="61"/>
      <c r="C149" s="61"/>
      <c r="D149" s="61"/>
      <c r="E149" s="61"/>
      <c r="I149" s="179"/>
    </row>
    <row r="150" spans="2:9" s="14" customFormat="1" ht="11.25">
      <c r="B150" s="61"/>
      <c r="C150" s="61"/>
      <c r="D150" s="61"/>
      <c r="E150" s="61"/>
      <c r="I150" s="179"/>
    </row>
    <row r="151" spans="2:9" s="14" customFormat="1" ht="11.25">
      <c r="B151" s="61"/>
      <c r="C151" s="61"/>
      <c r="D151" s="61"/>
      <c r="E151" s="61"/>
      <c r="I151" s="179"/>
    </row>
    <row r="152" spans="2:9" s="14" customFormat="1" ht="11.25">
      <c r="B152" s="61"/>
      <c r="C152" s="61"/>
      <c r="D152" s="61"/>
      <c r="E152" s="61"/>
      <c r="I152" s="179"/>
    </row>
    <row r="153" spans="2:9" s="14" customFormat="1" ht="11.25">
      <c r="B153" s="61"/>
      <c r="C153" s="61"/>
      <c r="D153" s="61"/>
      <c r="E153" s="61"/>
      <c r="I153" s="179"/>
    </row>
    <row r="154" spans="2:9" s="14" customFormat="1" ht="11.25">
      <c r="B154" s="61"/>
      <c r="C154" s="61"/>
      <c r="D154" s="61"/>
      <c r="E154" s="61"/>
      <c r="I154" s="179"/>
    </row>
    <row r="155" spans="2:9" s="14" customFormat="1" ht="11.25">
      <c r="B155" s="61"/>
      <c r="C155" s="61"/>
      <c r="D155" s="61"/>
      <c r="E155" s="61"/>
      <c r="I155" s="179"/>
    </row>
    <row r="156" spans="2:9" s="14" customFormat="1" ht="11.25">
      <c r="B156" s="61"/>
      <c r="C156" s="61"/>
      <c r="D156" s="61"/>
      <c r="E156" s="61"/>
      <c r="I156" s="179"/>
    </row>
    <row r="157" spans="2:9" s="14" customFormat="1" ht="11.25">
      <c r="B157" s="61"/>
      <c r="C157" s="61"/>
      <c r="D157" s="61"/>
      <c r="E157" s="61"/>
      <c r="I157" s="179"/>
    </row>
    <row r="158" spans="2:9" s="14" customFormat="1" ht="11.25">
      <c r="B158" s="61"/>
      <c r="C158" s="61"/>
      <c r="D158" s="61"/>
      <c r="E158" s="61"/>
      <c r="I158" s="179"/>
    </row>
    <row r="159" spans="2:9" s="14" customFormat="1" ht="11.25">
      <c r="B159" s="61"/>
      <c r="C159" s="61"/>
      <c r="D159" s="61"/>
      <c r="E159" s="61"/>
      <c r="I159" s="179"/>
    </row>
    <row r="160" spans="2:9" s="14" customFormat="1" ht="11.25">
      <c r="B160" s="61"/>
      <c r="C160" s="61"/>
      <c r="D160" s="61"/>
      <c r="E160" s="61"/>
      <c r="I160" s="179"/>
    </row>
    <row r="161" spans="2:9" s="14" customFormat="1" ht="11.25">
      <c r="B161" s="61"/>
      <c r="C161" s="61"/>
      <c r="D161" s="61"/>
      <c r="E161" s="61"/>
      <c r="I161" s="179"/>
    </row>
    <row r="162" spans="2:9" s="14" customFormat="1" ht="11.25">
      <c r="B162" s="61"/>
      <c r="C162" s="61"/>
      <c r="D162" s="61"/>
      <c r="E162" s="61"/>
      <c r="I162" s="179"/>
    </row>
    <row r="163" spans="2:9" s="14" customFormat="1" ht="11.25">
      <c r="B163" s="61"/>
      <c r="C163" s="61"/>
      <c r="D163" s="61"/>
      <c r="E163" s="61"/>
      <c r="I163" s="179"/>
    </row>
    <row r="164" spans="2:9" s="14" customFormat="1" ht="11.25">
      <c r="B164" s="61"/>
      <c r="C164" s="61"/>
      <c r="D164" s="61"/>
      <c r="E164" s="61"/>
      <c r="I164" s="179"/>
    </row>
    <row r="165" spans="2:9" s="14" customFormat="1" ht="11.25">
      <c r="B165" s="61"/>
      <c r="C165" s="61"/>
      <c r="D165" s="61"/>
      <c r="E165" s="61"/>
      <c r="I165" s="179"/>
    </row>
    <row r="166" spans="2:9" s="14" customFormat="1" ht="11.25">
      <c r="B166" s="61"/>
      <c r="C166" s="61"/>
      <c r="D166" s="61"/>
      <c r="E166" s="61"/>
      <c r="I166" s="179"/>
    </row>
    <row r="167" spans="2:9" s="14" customFormat="1" ht="11.25">
      <c r="B167" s="61"/>
      <c r="C167" s="61"/>
      <c r="D167" s="61"/>
      <c r="E167" s="61"/>
      <c r="I167" s="179"/>
    </row>
    <row r="168" spans="2:9" s="14" customFormat="1" ht="11.25">
      <c r="B168" s="61"/>
      <c r="C168" s="61"/>
      <c r="D168" s="61"/>
      <c r="E168" s="61"/>
      <c r="I168" s="179"/>
    </row>
    <row r="169" spans="2:9" s="14" customFormat="1" ht="11.25">
      <c r="B169" s="61"/>
      <c r="C169" s="61"/>
      <c r="D169" s="61"/>
      <c r="E169" s="61"/>
      <c r="I169" s="179"/>
    </row>
    <row r="170" spans="2:9" s="14" customFormat="1" ht="11.25">
      <c r="B170" s="61"/>
      <c r="C170" s="61"/>
      <c r="D170" s="61"/>
      <c r="E170" s="61"/>
      <c r="I170" s="179"/>
    </row>
    <row r="171" spans="2:9" s="14" customFormat="1" ht="11.25">
      <c r="B171" s="61"/>
      <c r="C171" s="61"/>
      <c r="D171" s="61"/>
      <c r="E171" s="61"/>
      <c r="I171" s="179"/>
    </row>
    <row r="172" spans="2:9" s="14" customFormat="1" ht="11.25">
      <c r="B172" s="61"/>
      <c r="C172" s="61"/>
      <c r="D172" s="61"/>
      <c r="E172" s="61"/>
      <c r="I172" s="179"/>
    </row>
    <row r="173" spans="2:9" s="14" customFormat="1" ht="11.25">
      <c r="B173" s="61"/>
      <c r="C173" s="61"/>
      <c r="D173" s="61"/>
      <c r="E173" s="61"/>
      <c r="I173" s="179"/>
    </row>
    <row r="174" spans="2:9" s="14" customFormat="1" ht="11.25">
      <c r="B174" s="61"/>
      <c r="C174" s="61"/>
      <c r="D174" s="61"/>
      <c r="E174" s="61"/>
      <c r="I174" s="179"/>
    </row>
    <row r="175" spans="2:9" s="14" customFormat="1" ht="11.25">
      <c r="B175" s="61"/>
      <c r="C175" s="61"/>
      <c r="D175" s="61"/>
      <c r="E175" s="61"/>
      <c r="I175" s="179"/>
    </row>
    <row r="176" spans="2:9" s="14" customFormat="1" ht="11.25">
      <c r="B176" s="61"/>
      <c r="C176" s="61"/>
      <c r="D176" s="61"/>
      <c r="E176" s="61"/>
      <c r="I176" s="179"/>
    </row>
    <row r="177" spans="2:9" s="14" customFormat="1" ht="11.25">
      <c r="B177" s="61"/>
      <c r="C177" s="61"/>
      <c r="D177" s="61"/>
      <c r="E177" s="61"/>
      <c r="I177" s="179"/>
    </row>
    <row r="178" spans="2:9" s="14" customFormat="1" ht="11.25">
      <c r="B178" s="61"/>
      <c r="C178" s="61"/>
      <c r="D178" s="61"/>
      <c r="E178" s="61"/>
      <c r="I178" s="179"/>
    </row>
    <row r="179" spans="2:9" s="14" customFormat="1" ht="11.25">
      <c r="B179" s="61"/>
      <c r="C179" s="61"/>
      <c r="D179" s="61"/>
      <c r="E179" s="61"/>
      <c r="I179" s="179"/>
    </row>
    <row r="180" spans="2:9" s="14" customFormat="1" ht="11.25">
      <c r="B180" s="61"/>
      <c r="C180" s="61"/>
      <c r="D180" s="61"/>
      <c r="E180" s="61"/>
      <c r="I180" s="179"/>
    </row>
    <row r="181" spans="2:9" s="14" customFormat="1" ht="11.25">
      <c r="B181" s="61"/>
      <c r="C181" s="61"/>
      <c r="D181" s="61"/>
      <c r="E181" s="61"/>
      <c r="I181" s="179"/>
    </row>
    <row r="182" spans="2:9" s="14" customFormat="1" ht="11.25">
      <c r="B182" s="61"/>
      <c r="C182" s="61"/>
      <c r="D182" s="61"/>
      <c r="E182" s="61"/>
      <c r="I182" s="179"/>
    </row>
    <row r="183" spans="2:9" s="14" customFormat="1" ht="11.25">
      <c r="B183" s="61"/>
      <c r="C183" s="61"/>
      <c r="D183" s="61"/>
      <c r="E183" s="61"/>
      <c r="I183" s="179"/>
    </row>
    <row r="184" spans="2:9" s="14" customFormat="1" ht="11.25">
      <c r="B184" s="61"/>
      <c r="C184" s="61"/>
      <c r="D184" s="61"/>
      <c r="E184" s="61"/>
      <c r="I184" s="179"/>
    </row>
    <row r="185" spans="2:9" s="14" customFormat="1" ht="11.25">
      <c r="B185" s="61"/>
      <c r="C185" s="61"/>
      <c r="D185" s="61"/>
      <c r="E185" s="61"/>
      <c r="I185" s="179"/>
    </row>
    <row r="186" spans="2:9" s="14" customFormat="1" ht="11.25">
      <c r="B186" s="61"/>
      <c r="C186" s="61"/>
      <c r="D186" s="61"/>
      <c r="E186" s="61"/>
      <c r="I186" s="179"/>
    </row>
    <row r="187" spans="2:9" s="14" customFormat="1" ht="11.25">
      <c r="B187" s="61"/>
      <c r="C187" s="61"/>
      <c r="D187" s="61"/>
      <c r="E187" s="61"/>
      <c r="I187" s="179"/>
    </row>
    <row r="188" spans="2:9" s="14" customFormat="1" ht="11.25">
      <c r="B188" s="61"/>
      <c r="C188" s="61"/>
      <c r="D188" s="61"/>
      <c r="E188" s="61"/>
      <c r="I188" s="179"/>
    </row>
    <row r="189" spans="2:9" s="14" customFormat="1" ht="11.25">
      <c r="B189" s="61"/>
      <c r="C189" s="61"/>
      <c r="D189" s="61"/>
      <c r="E189" s="61"/>
      <c r="I189" s="179"/>
    </row>
    <row r="190" spans="2:9" s="14" customFormat="1" ht="11.25">
      <c r="B190" s="61"/>
      <c r="C190" s="61"/>
      <c r="D190" s="61"/>
      <c r="E190" s="61"/>
      <c r="I190" s="179"/>
    </row>
    <row r="191" spans="2:9" s="14" customFormat="1" ht="11.25">
      <c r="B191" s="61"/>
      <c r="C191" s="61"/>
      <c r="D191" s="61"/>
      <c r="E191" s="61"/>
      <c r="I191" s="179"/>
    </row>
    <row r="192" spans="2:9" s="14" customFormat="1" ht="11.25">
      <c r="B192" s="61"/>
      <c r="C192" s="61"/>
      <c r="D192" s="61"/>
      <c r="E192" s="61"/>
      <c r="I192" s="179"/>
    </row>
    <row r="193" spans="2:9" s="14" customFormat="1" ht="11.25">
      <c r="B193" s="61"/>
      <c r="C193" s="61"/>
      <c r="D193" s="61"/>
      <c r="E193" s="61"/>
      <c r="I193" s="179"/>
    </row>
    <row r="194" spans="2:9" s="14" customFormat="1" ht="11.25">
      <c r="B194" s="61"/>
      <c r="C194" s="61"/>
      <c r="D194" s="61"/>
      <c r="E194" s="61"/>
      <c r="I194" s="179"/>
    </row>
    <row r="195" spans="2:9" s="14" customFormat="1" ht="11.25">
      <c r="B195" s="61"/>
      <c r="C195" s="61"/>
      <c r="D195" s="61"/>
      <c r="E195" s="61"/>
      <c r="I195" s="179"/>
    </row>
    <row r="196" spans="2:9" s="14" customFormat="1" ht="11.25">
      <c r="B196" s="61"/>
      <c r="C196" s="61"/>
      <c r="D196" s="61"/>
      <c r="E196" s="61"/>
      <c r="I196" s="179"/>
    </row>
    <row r="197" spans="2:9" s="14" customFormat="1" ht="11.25">
      <c r="B197" s="61"/>
      <c r="C197" s="61"/>
      <c r="D197" s="61"/>
      <c r="E197" s="61"/>
      <c r="I197" s="179"/>
    </row>
    <row r="198" spans="2:9" s="14" customFormat="1" ht="11.25">
      <c r="B198" s="61"/>
      <c r="C198" s="61"/>
      <c r="D198" s="61"/>
      <c r="E198" s="61"/>
      <c r="I198" s="179"/>
    </row>
    <row r="199" spans="2:9" s="14" customFormat="1" ht="11.25">
      <c r="B199" s="61"/>
      <c r="C199" s="61"/>
      <c r="D199" s="61"/>
      <c r="E199" s="61"/>
      <c r="I199" s="179"/>
    </row>
    <row r="200" spans="2:9" s="14" customFormat="1" ht="11.25">
      <c r="B200" s="61"/>
      <c r="C200" s="61"/>
      <c r="D200" s="61"/>
      <c r="E200" s="61"/>
      <c r="I200" s="179"/>
    </row>
    <row r="201" spans="2:9" s="14" customFormat="1" ht="11.25">
      <c r="B201" s="61"/>
      <c r="C201" s="61"/>
      <c r="D201" s="61"/>
      <c r="E201" s="61"/>
      <c r="I201" s="179"/>
    </row>
    <row r="202" spans="2:9" s="14" customFormat="1" ht="11.25">
      <c r="B202" s="61"/>
      <c r="C202" s="61"/>
      <c r="D202" s="61"/>
      <c r="E202" s="61"/>
      <c r="I202" s="179"/>
    </row>
    <row r="203" spans="2:9" s="14" customFormat="1" ht="11.25">
      <c r="B203" s="61"/>
      <c r="C203" s="61"/>
      <c r="D203" s="61"/>
      <c r="E203" s="61"/>
      <c r="I203" s="179"/>
    </row>
    <row r="204" spans="2:9" s="14" customFormat="1" ht="11.25">
      <c r="B204" s="61"/>
      <c r="C204" s="61"/>
      <c r="D204" s="61"/>
      <c r="E204" s="61"/>
      <c r="I204" s="179"/>
    </row>
    <row r="205" spans="2:9" s="14" customFormat="1" ht="11.25">
      <c r="B205" s="61"/>
      <c r="C205" s="61"/>
      <c r="D205" s="61"/>
      <c r="E205" s="61"/>
      <c r="I205" s="179"/>
    </row>
    <row r="206" spans="2:9" s="14" customFormat="1" ht="11.25">
      <c r="B206" s="61"/>
      <c r="C206" s="61"/>
      <c r="D206" s="61"/>
      <c r="E206" s="61"/>
      <c r="I206" s="179"/>
    </row>
    <row r="207" spans="2:9" s="14" customFormat="1" ht="11.25">
      <c r="B207" s="61"/>
      <c r="C207" s="61"/>
      <c r="D207" s="61"/>
      <c r="E207" s="61"/>
      <c r="I207" s="179"/>
    </row>
    <row r="208" spans="2:9" s="14" customFormat="1" ht="11.25">
      <c r="B208" s="61"/>
      <c r="C208" s="61"/>
      <c r="D208" s="61"/>
      <c r="E208" s="61"/>
      <c r="I208" s="179"/>
    </row>
    <row r="209" spans="2:9" s="14" customFormat="1" ht="11.25">
      <c r="B209" s="61"/>
      <c r="C209" s="61"/>
      <c r="D209" s="61"/>
      <c r="E209" s="61"/>
      <c r="I209" s="179"/>
    </row>
    <row r="210" spans="2:9" s="14" customFormat="1" ht="11.25">
      <c r="B210" s="61"/>
      <c r="C210" s="61"/>
      <c r="D210" s="61"/>
      <c r="E210" s="61"/>
      <c r="I210" s="179"/>
    </row>
    <row r="211" spans="2:9" s="14" customFormat="1" ht="11.25">
      <c r="B211" s="61"/>
      <c r="C211" s="61"/>
      <c r="D211" s="61"/>
      <c r="E211" s="61"/>
      <c r="I211" s="179"/>
    </row>
    <row r="212" spans="2:9" s="14" customFormat="1" ht="11.25">
      <c r="B212" s="61"/>
      <c r="C212" s="61"/>
      <c r="D212" s="61"/>
      <c r="E212" s="61"/>
      <c r="I212" s="179"/>
    </row>
    <row r="213" spans="2:9" s="14" customFormat="1" ht="11.25">
      <c r="B213" s="61"/>
      <c r="C213" s="61"/>
      <c r="D213" s="61"/>
      <c r="E213" s="61"/>
      <c r="I213" s="179"/>
    </row>
    <row r="214" spans="2:9" s="14" customFormat="1" ht="11.25">
      <c r="B214" s="61"/>
      <c r="C214" s="61"/>
      <c r="D214" s="61"/>
      <c r="E214" s="61"/>
      <c r="I214" s="179"/>
    </row>
    <row r="215" spans="2:9" s="14" customFormat="1" ht="11.25">
      <c r="B215" s="61"/>
      <c r="C215" s="61"/>
      <c r="D215" s="61"/>
      <c r="E215" s="61"/>
      <c r="I215" s="179"/>
    </row>
    <row r="216" spans="2:9" s="14" customFormat="1" ht="11.25">
      <c r="B216" s="61"/>
      <c r="C216" s="61"/>
      <c r="D216" s="61"/>
      <c r="E216" s="61"/>
      <c r="I216" s="179"/>
    </row>
    <row r="217" spans="2:9" s="14" customFormat="1" ht="11.25">
      <c r="B217" s="61"/>
      <c r="C217" s="61"/>
      <c r="D217" s="61"/>
      <c r="E217" s="61"/>
      <c r="I217" s="179"/>
    </row>
    <row r="218" spans="2:9" s="14" customFormat="1" ht="11.25">
      <c r="B218" s="61"/>
      <c r="C218" s="61"/>
      <c r="D218" s="61"/>
      <c r="E218" s="61"/>
      <c r="I218" s="179"/>
    </row>
    <row r="219" spans="2:9" s="14" customFormat="1" ht="11.25">
      <c r="B219" s="61"/>
      <c r="C219" s="61"/>
      <c r="D219" s="61"/>
      <c r="E219" s="61"/>
      <c r="I219" s="179"/>
    </row>
    <row r="220" spans="2:9" s="14" customFormat="1" ht="11.25">
      <c r="B220" s="61"/>
      <c r="C220" s="61"/>
      <c r="D220" s="61"/>
      <c r="E220" s="61"/>
      <c r="I220" s="179"/>
    </row>
    <row r="221" spans="2:9" s="14" customFormat="1" ht="11.25">
      <c r="B221" s="61"/>
      <c r="C221" s="61"/>
      <c r="D221" s="61"/>
      <c r="E221" s="61"/>
      <c r="I221" s="179"/>
    </row>
    <row r="222" spans="2:9" s="14" customFormat="1" ht="11.25">
      <c r="B222" s="61"/>
      <c r="C222" s="61"/>
      <c r="D222" s="61"/>
      <c r="E222" s="61"/>
      <c r="I222" s="179"/>
    </row>
    <row r="223" spans="2:9" s="14" customFormat="1" ht="11.25">
      <c r="B223" s="61"/>
      <c r="C223" s="61"/>
      <c r="D223" s="61"/>
      <c r="E223" s="61"/>
      <c r="I223" s="179"/>
    </row>
    <row r="224" spans="2:9" s="14" customFormat="1" ht="11.25">
      <c r="B224" s="61"/>
      <c r="C224" s="61"/>
      <c r="D224" s="61"/>
      <c r="E224" s="61"/>
      <c r="I224" s="179"/>
    </row>
    <row r="225" spans="2:9" s="14" customFormat="1" ht="11.25">
      <c r="B225" s="61"/>
      <c r="C225" s="61"/>
      <c r="D225" s="61"/>
      <c r="E225" s="61"/>
      <c r="I225" s="179"/>
    </row>
    <row r="226" spans="2:9" s="14" customFormat="1" ht="11.25">
      <c r="B226" s="61"/>
      <c r="C226" s="61"/>
      <c r="D226" s="61"/>
      <c r="E226" s="61"/>
      <c r="I226" s="179"/>
    </row>
    <row r="227" spans="2:9" s="14" customFormat="1" ht="11.25">
      <c r="B227" s="61"/>
      <c r="C227" s="61"/>
      <c r="D227" s="61"/>
      <c r="E227" s="61"/>
      <c r="I227" s="179"/>
    </row>
    <row r="228" spans="2:9" s="14" customFormat="1" ht="11.25">
      <c r="B228" s="61"/>
      <c r="C228" s="61"/>
      <c r="D228" s="61"/>
      <c r="E228" s="61"/>
      <c r="I228" s="179"/>
    </row>
    <row r="229" spans="2:9" s="14" customFormat="1" ht="11.25">
      <c r="B229" s="61"/>
      <c r="C229" s="61"/>
      <c r="D229" s="61"/>
      <c r="E229" s="61"/>
      <c r="I229" s="179"/>
    </row>
    <row r="230" spans="2:9" s="14" customFormat="1" ht="11.25">
      <c r="B230" s="61"/>
      <c r="C230" s="61"/>
      <c r="D230" s="61"/>
      <c r="E230" s="61"/>
      <c r="I230" s="179"/>
    </row>
    <row r="231" spans="2:9" s="14" customFormat="1" ht="11.25">
      <c r="B231" s="61"/>
      <c r="C231" s="61"/>
      <c r="D231" s="61"/>
      <c r="E231" s="61"/>
      <c r="I231" s="179"/>
    </row>
    <row r="232" spans="2:9" s="14" customFormat="1" ht="11.25">
      <c r="B232" s="61"/>
      <c r="C232" s="61"/>
      <c r="D232" s="61"/>
      <c r="E232" s="61"/>
      <c r="I232" s="179"/>
    </row>
    <row r="233" spans="2:9" s="14" customFormat="1" ht="11.25">
      <c r="B233" s="61"/>
      <c r="C233" s="61"/>
      <c r="D233" s="61"/>
      <c r="E233" s="61"/>
      <c r="I233" s="179"/>
    </row>
    <row r="234" spans="2:9" s="14" customFormat="1" ht="11.25">
      <c r="B234" s="61"/>
      <c r="C234" s="61"/>
      <c r="D234" s="61"/>
      <c r="E234" s="61"/>
      <c r="I234" s="179"/>
    </row>
    <row r="235" spans="2:9" s="14" customFormat="1" ht="11.25">
      <c r="B235" s="61"/>
      <c r="C235" s="61"/>
      <c r="D235" s="61"/>
      <c r="E235" s="61"/>
      <c r="I235" s="179"/>
    </row>
    <row r="236" spans="2:9" s="14" customFormat="1" ht="11.25">
      <c r="B236" s="61"/>
      <c r="C236" s="61"/>
      <c r="D236" s="61"/>
      <c r="E236" s="61"/>
      <c r="I236" s="179"/>
    </row>
    <row r="237" spans="2:9" s="14" customFormat="1" ht="11.25">
      <c r="B237" s="61"/>
      <c r="C237" s="61"/>
      <c r="D237" s="61"/>
      <c r="E237" s="61"/>
      <c r="I237" s="179"/>
    </row>
    <row r="238" spans="2:9" s="14" customFormat="1" ht="11.25">
      <c r="B238" s="61"/>
      <c r="C238" s="61"/>
      <c r="D238" s="61"/>
      <c r="E238" s="61"/>
      <c r="I238" s="179"/>
    </row>
    <row r="239" spans="2:9" s="14" customFormat="1" ht="11.25">
      <c r="B239" s="61"/>
      <c r="C239" s="61"/>
      <c r="D239" s="61"/>
      <c r="E239" s="61"/>
      <c r="I239" s="179"/>
    </row>
    <row r="240" spans="2:9" s="14" customFormat="1" ht="11.25">
      <c r="B240" s="61"/>
      <c r="C240" s="61"/>
      <c r="D240" s="61"/>
      <c r="E240" s="61"/>
      <c r="I240" s="179"/>
    </row>
    <row r="241" spans="2:9" s="14" customFormat="1" ht="11.25">
      <c r="B241" s="61"/>
      <c r="C241" s="61"/>
      <c r="D241" s="61"/>
      <c r="E241" s="61"/>
      <c r="I241" s="179"/>
    </row>
    <row r="242" spans="2:9" s="14" customFormat="1" ht="11.25">
      <c r="B242" s="61"/>
      <c r="C242" s="61"/>
      <c r="D242" s="61"/>
      <c r="E242" s="61"/>
      <c r="I242" s="179"/>
    </row>
    <row r="243" spans="2:9" s="14" customFormat="1" ht="11.25">
      <c r="B243" s="61"/>
      <c r="C243" s="61"/>
      <c r="D243" s="61"/>
      <c r="E243" s="61"/>
      <c r="I243" s="179"/>
    </row>
    <row r="244" spans="2:9" s="14" customFormat="1" ht="11.25">
      <c r="B244" s="61"/>
      <c r="C244" s="61"/>
      <c r="D244" s="61"/>
      <c r="E244" s="61"/>
      <c r="I244" s="179"/>
    </row>
    <row r="245" spans="2:9" s="14" customFormat="1" ht="11.25">
      <c r="B245" s="61"/>
      <c r="C245" s="61"/>
      <c r="D245" s="61"/>
      <c r="E245" s="61"/>
      <c r="I245" s="179"/>
    </row>
    <row r="246" spans="2:9" s="14" customFormat="1" ht="11.25">
      <c r="B246" s="61"/>
      <c r="C246" s="61"/>
      <c r="D246" s="61"/>
      <c r="E246" s="61"/>
      <c r="I246" s="179"/>
    </row>
    <row r="247" spans="2:9" s="14" customFormat="1" ht="11.25">
      <c r="B247" s="61"/>
      <c r="C247" s="61"/>
      <c r="D247" s="61"/>
      <c r="E247" s="61"/>
      <c r="I247" s="179"/>
    </row>
    <row r="248" spans="2:9" s="14" customFormat="1" ht="11.25">
      <c r="B248" s="61"/>
      <c r="C248" s="61"/>
      <c r="D248" s="61"/>
      <c r="E248" s="61"/>
      <c r="I248" s="179"/>
    </row>
    <row r="249" spans="2:9" s="14" customFormat="1" ht="11.25">
      <c r="B249" s="61"/>
      <c r="C249" s="61"/>
      <c r="D249" s="61"/>
      <c r="E249" s="61"/>
      <c r="I249" s="179"/>
    </row>
    <row r="250" spans="2:9" s="14" customFormat="1" ht="11.25">
      <c r="B250" s="61"/>
      <c r="C250" s="61"/>
      <c r="D250" s="61"/>
      <c r="E250" s="61"/>
      <c r="I250" s="179"/>
    </row>
    <row r="251" spans="2:9" s="14" customFormat="1" ht="11.25">
      <c r="B251" s="61"/>
      <c r="C251" s="61"/>
      <c r="D251" s="61"/>
      <c r="E251" s="61"/>
      <c r="I251" s="179"/>
    </row>
    <row r="252" spans="2:9" s="14" customFormat="1" ht="11.25">
      <c r="B252" s="61"/>
      <c r="C252" s="61"/>
      <c r="D252" s="61"/>
      <c r="E252" s="61"/>
      <c r="I252" s="179"/>
    </row>
    <row r="253" spans="2:9" s="14" customFormat="1" ht="11.25">
      <c r="B253" s="61"/>
      <c r="C253" s="61"/>
      <c r="D253" s="61"/>
      <c r="E253" s="61"/>
      <c r="I253" s="179"/>
    </row>
    <row r="254" spans="2:9" s="14" customFormat="1" ht="11.25">
      <c r="B254" s="61"/>
      <c r="C254" s="61"/>
      <c r="D254" s="61"/>
      <c r="E254" s="61"/>
      <c r="I254" s="179"/>
    </row>
    <row r="255" spans="2:9" s="14" customFormat="1" ht="11.25">
      <c r="B255" s="61"/>
      <c r="C255" s="61"/>
      <c r="D255" s="61"/>
      <c r="E255" s="61"/>
      <c r="I255" s="179"/>
    </row>
    <row r="256" spans="2:9" s="14" customFormat="1" ht="11.25">
      <c r="B256" s="61"/>
      <c r="C256" s="61"/>
      <c r="D256" s="61"/>
      <c r="E256" s="61"/>
      <c r="I256" s="179"/>
    </row>
    <row r="257" spans="2:9" s="14" customFormat="1" ht="11.25">
      <c r="B257" s="61"/>
      <c r="C257" s="61"/>
      <c r="D257" s="61"/>
      <c r="E257" s="61"/>
      <c r="I257" s="179"/>
    </row>
    <row r="258" spans="2:9" s="14" customFormat="1" ht="11.25">
      <c r="B258" s="61"/>
      <c r="C258" s="61"/>
      <c r="D258" s="61"/>
      <c r="E258" s="61"/>
      <c r="I258" s="179"/>
    </row>
    <row r="259" spans="2:9" s="14" customFormat="1" ht="11.25">
      <c r="B259" s="61"/>
      <c r="C259" s="61"/>
      <c r="D259" s="61"/>
      <c r="E259" s="61"/>
      <c r="I259" s="179"/>
    </row>
    <row r="260" spans="2:9" s="14" customFormat="1" ht="11.25">
      <c r="B260" s="61"/>
      <c r="C260" s="61"/>
      <c r="D260" s="61"/>
      <c r="E260" s="61"/>
      <c r="I260" s="179"/>
    </row>
    <row r="261" spans="2:9" s="14" customFormat="1" ht="11.25">
      <c r="B261" s="61"/>
      <c r="C261" s="61"/>
      <c r="D261" s="61"/>
      <c r="E261" s="61"/>
      <c r="I261" s="179"/>
    </row>
    <row r="262" spans="2:9" s="14" customFormat="1" ht="11.25">
      <c r="B262" s="61"/>
      <c r="C262" s="61"/>
      <c r="D262" s="61"/>
      <c r="E262" s="61"/>
      <c r="I262" s="179"/>
    </row>
    <row r="263" spans="2:9" s="14" customFormat="1" ht="11.25">
      <c r="B263" s="61"/>
      <c r="C263" s="61"/>
      <c r="D263" s="61"/>
      <c r="E263" s="61"/>
      <c r="I263" s="179"/>
    </row>
    <row r="264" spans="2:9" s="14" customFormat="1" ht="11.25">
      <c r="B264" s="61"/>
      <c r="C264" s="61"/>
      <c r="D264" s="61"/>
      <c r="E264" s="61"/>
      <c r="I264" s="179"/>
    </row>
    <row r="265" spans="2:9" s="14" customFormat="1" ht="11.25">
      <c r="B265" s="61"/>
      <c r="C265" s="61"/>
      <c r="D265" s="61"/>
      <c r="E265" s="61"/>
      <c r="I265" s="179"/>
    </row>
    <row r="266" spans="2:9" s="14" customFormat="1" ht="11.25">
      <c r="B266" s="61"/>
      <c r="C266" s="61"/>
      <c r="D266" s="61"/>
      <c r="E266" s="61"/>
      <c r="I266" s="179"/>
    </row>
    <row r="267" spans="2:9" s="14" customFormat="1" ht="11.25">
      <c r="B267" s="61"/>
      <c r="C267" s="61"/>
      <c r="D267" s="61"/>
      <c r="E267" s="61"/>
      <c r="I267" s="179"/>
    </row>
    <row r="268" spans="2:9" s="14" customFormat="1" ht="11.25">
      <c r="B268" s="61"/>
      <c r="C268" s="61"/>
      <c r="D268" s="61"/>
      <c r="E268" s="61"/>
      <c r="I268" s="179"/>
    </row>
    <row r="269" spans="2:9" s="14" customFormat="1" ht="11.25">
      <c r="B269" s="61"/>
      <c r="C269" s="61"/>
      <c r="D269" s="61"/>
      <c r="E269" s="61"/>
      <c r="I269" s="179"/>
    </row>
    <row r="270" spans="2:9" s="14" customFormat="1" ht="11.25">
      <c r="B270" s="61"/>
      <c r="C270" s="61"/>
      <c r="D270" s="61"/>
      <c r="E270" s="61"/>
      <c r="I270" s="179"/>
    </row>
    <row r="271" spans="2:9" s="14" customFormat="1" ht="11.25">
      <c r="B271" s="61"/>
      <c r="C271" s="61"/>
      <c r="D271" s="61"/>
      <c r="E271" s="61"/>
      <c r="I271" s="179"/>
    </row>
    <row r="272" spans="2:9" s="14" customFormat="1" ht="11.25">
      <c r="B272" s="61"/>
      <c r="C272" s="61"/>
      <c r="D272" s="61"/>
      <c r="E272" s="61"/>
      <c r="I272" s="179"/>
    </row>
    <row r="273" spans="2:9" s="14" customFormat="1" ht="11.25">
      <c r="B273" s="61"/>
      <c r="C273" s="61"/>
      <c r="D273" s="61"/>
      <c r="E273" s="61"/>
      <c r="I273" s="179"/>
    </row>
    <row r="274" spans="2:9" s="14" customFormat="1" ht="11.25">
      <c r="B274" s="61"/>
      <c r="C274" s="61"/>
      <c r="D274" s="61"/>
      <c r="E274" s="61"/>
      <c r="I274" s="179"/>
    </row>
    <row r="275" spans="2:9" s="14" customFormat="1" ht="11.25">
      <c r="B275" s="61"/>
      <c r="C275" s="61"/>
      <c r="D275" s="61"/>
      <c r="E275" s="61"/>
      <c r="I275" s="179"/>
    </row>
    <row r="276" spans="2:9" s="14" customFormat="1" ht="11.25">
      <c r="B276" s="61"/>
      <c r="C276" s="61"/>
      <c r="D276" s="61"/>
      <c r="E276" s="61"/>
      <c r="I276" s="179"/>
    </row>
    <row r="277" spans="2:9" s="14" customFormat="1" ht="11.25">
      <c r="B277" s="61"/>
      <c r="C277" s="61"/>
      <c r="D277" s="61"/>
      <c r="E277" s="61"/>
      <c r="I277" s="179"/>
    </row>
    <row r="278" spans="2:9" s="14" customFormat="1" ht="11.25">
      <c r="B278" s="61"/>
      <c r="C278" s="61"/>
      <c r="D278" s="61"/>
      <c r="E278" s="61"/>
      <c r="I278" s="179"/>
    </row>
    <row r="279" spans="2:9" s="14" customFormat="1" ht="11.25">
      <c r="B279" s="61"/>
      <c r="C279" s="61"/>
      <c r="D279" s="61"/>
      <c r="E279" s="61"/>
      <c r="I279" s="179"/>
    </row>
    <row r="280" spans="2:9" s="14" customFormat="1" ht="11.25">
      <c r="B280" s="61"/>
      <c r="C280" s="61"/>
      <c r="D280" s="61"/>
      <c r="E280" s="61"/>
      <c r="I280" s="179"/>
    </row>
    <row r="281" spans="2:9" s="14" customFormat="1" ht="11.25">
      <c r="B281" s="61"/>
      <c r="C281" s="61"/>
      <c r="D281" s="61"/>
      <c r="E281" s="61"/>
      <c r="I281" s="179"/>
    </row>
    <row r="282" spans="2:9" s="14" customFormat="1" ht="11.25">
      <c r="B282" s="61"/>
      <c r="C282" s="61"/>
      <c r="D282" s="61"/>
      <c r="E282" s="61"/>
      <c r="I282" s="179"/>
    </row>
    <row r="283" spans="2:9" s="14" customFormat="1" ht="11.25">
      <c r="B283" s="61"/>
      <c r="C283" s="61"/>
      <c r="D283" s="61"/>
      <c r="E283" s="61"/>
      <c r="I283" s="179"/>
    </row>
    <row r="284" spans="2:9" s="14" customFormat="1" ht="11.25">
      <c r="B284" s="61"/>
      <c r="C284" s="61"/>
      <c r="D284" s="61"/>
      <c r="E284" s="61"/>
      <c r="I284" s="179"/>
    </row>
    <row r="285" spans="2:9" s="14" customFormat="1" ht="11.25">
      <c r="B285" s="61"/>
      <c r="C285" s="61"/>
      <c r="D285" s="61"/>
      <c r="E285" s="61"/>
      <c r="I285" s="179"/>
    </row>
    <row r="286" spans="2:9" s="14" customFormat="1" ht="11.25">
      <c r="B286" s="61"/>
      <c r="C286" s="61"/>
      <c r="D286" s="61"/>
      <c r="E286" s="61"/>
      <c r="I286" s="179"/>
    </row>
    <row r="287" spans="2:9" s="14" customFormat="1" ht="11.25">
      <c r="B287" s="61"/>
      <c r="C287" s="61"/>
      <c r="D287" s="61"/>
      <c r="E287" s="61"/>
      <c r="I287" s="179"/>
    </row>
    <row r="288" spans="2:9" s="14" customFormat="1" ht="11.25">
      <c r="B288" s="61"/>
      <c r="C288" s="61"/>
      <c r="D288" s="61"/>
      <c r="E288" s="61"/>
      <c r="I288" s="179"/>
    </row>
    <row r="289" spans="2:9" s="14" customFormat="1" ht="11.25">
      <c r="B289" s="61"/>
      <c r="C289" s="61"/>
      <c r="D289" s="61"/>
      <c r="E289" s="61"/>
      <c r="I289" s="179"/>
    </row>
    <row r="290" spans="2:9" s="14" customFormat="1" ht="11.25">
      <c r="B290" s="61"/>
      <c r="C290" s="61"/>
      <c r="D290" s="61"/>
      <c r="E290" s="61"/>
      <c r="I290" s="179"/>
    </row>
    <row r="291" spans="2:9" s="14" customFormat="1" ht="11.25">
      <c r="B291" s="61"/>
      <c r="C291" s="61"/>
      <c r="D291" s="61"/>
      <c r="E291" s="61"/>
      <c r="I291" s="179"/>
    </row>
    <row r="292" spans="2:9" s="14" customFormat="1" ht="11.25">
      <c r="B292" s="61"/>
      <c r="C292" s="61"/>
      <c r="D292" s="61"/>
      <c r="E292" s="61"/>
      <c r="I292" s="179"/>
    </row>
    <row r="293" spans="2:9" s="14" customFormat="1" ht="11.25">
      <c r="B293" s="61"/>
      <c r="C293" s="61"/>
      <c r="D293" s="61"/>
      <c r="E293" s="61"/>
      <c r="I293" s="179"/>
    </row>
    <row r="294" spans="2:9" s="14" customFormat="1" ht="11.25">
      <c r="B294" s="61"/>
      <c r="C294" s="61"/>
      <c r="D294" s="61"/>
      <c r="E294" s="61"/>
      <c r="I294" s="179"/>
    </row>
    <row r="295" spans="2:9" s="14" customFormat="1" ht="11.25">
      <c r="B295" s="61"/>
      <c r="C295" s="61"/>
      <c r="D295" s="61"/>
      <c r="E295" s="61"/>
      <c r="I295" s="179"/>
    </row>
    <row r="296" spans="2:9" s="14" customFormat="1" ht="11.25">
      <c r="B296" s="61"/>
      <c r="C296" s="61"/>
      <c r="D296" s="61"/>
      <c r="E296" s="61"/>
      <c r="I296" s="179"/>
    </row>
    <row r="297" spans="2:9" s="14" customFormat="1" ht="11.25">
      <c r="B297" s="61"/>
      <c r="C297" s="61"/>
      <c r="D297" s="61"/>
      <c r="E297" s="61"/>
      <c r="I297" s="179"/>
    </row>
    <row r="298" spans="2:9" s="14" customFormat="1" ht="11.25">
      <c r="B298" s="61"/>
      <c r="C298" s="61"/>
      <c r="D298" s="61"/>
      <c r="E298" s="61"/>
      <c r="I298" s="179"/>
    </row>
    <row r="299" spans="2:9" s="14" customFormat="1" ht="11.25">
      <c r="B299" s="61"/>
      <c r="C299" s="61"/>
      <c r="D299" s="61"/>
      <c r="E299" s="61"/>
      <c r="I299" s="179"/>
    </row>
    <row r="300" spans="2:9" s="14" customFormat="1" ht="11.25">
      <c r="B300" s="61"/>
      <c r="C300" s="61"/>
      <c r="D300" s="61"/>
      <c r="E300" s="61"/>
      <c r="I300" s="179"/>
    </row>
    <row r="301" spans="2:9" s="14" customFormat="1" ht="11.25">
      <c r="B301" s="61"/>
      <c r="C301" s="61"/>
      <c r="D301" s="61"/>
      <c r="E301" s="61"/>
      <c r="I301" s="179"/>
    </row>
    <row r="302" spans="2:9" s="14" customFormat="1" ht="11.25">
      <c r="B302" s="61"/>
      <c r="C302" s="61"/>
      <c r="D302" s="61"/>
      <c r="E302" s="61"/>
      <c r="I302" s="179"/>
    </row>
    <row r="303" spans="2:9" s="14" customFormat="1" ht="11.25">
      <c r="B303" s="61"/>
      <c r="C303" s="61"/>
      <c r="D303" s="61"/>
      <c r="E303" s="61"/>
      <c r="I303" s="179"/>
    </row>
    <row r="304" spans="2:9" s="14" customFormat="1" ht="11.25">
      <c r="B304" s="61"/>
      <c r="C304" s="61"/>
      <c r="D304" s="61"/>
      <c r="E304" s="61"/>
      <c r="I304" s="179"/>
    </row>
    <row r="305" spans="2:9" s="14" customFormat="1" ht="11.25">
      <c r="B305" s="61"/>
      <c r="C305" s="61"/>
      <c r="D305" s="61"/>
      <c r="E305" s="61"/>
      <c r="I305" s="179"/>
    </row>
    <row r="306" spans="2:9" s="14" customFormat="1" ht="11.25">
      <c r="B306" s="61"/>
      <c r="C306" s="61"/>
      <c r="D306" s="61"/>
      <c r="E306" s="61"/>
      <c r="I306" s="179"/>
    </row>
    <row r="307" spans="2:9" s="14" customFormat="1" ht="11.25">
      <c r="B307" s="61"/>
      <c r="C307" s="61"/>
      <c r="D307" s="61"/>
      <c r="E307" s="61"/>
      <c r="I307" s="179"/>
    </row>
    <row r="308" spans="2:9" s="14" customFormat="1" ht="11.25">
      <c r="B308" s="61"/>
      <c r="C308" s="61"/>
      <c r="D308" s="61"/>
      <c r="E308" s="61"/>
      <c r="I308" s="179"/>
    </row>
    <row r="309" spans="2:9" s="14" customFormat="1" ht="11.25">
      <c r="B309" s="61"/>
      <c r="C309" s="61"/>
      <c r="D309" s="61"/>
      <c r="E309" s="61"/>
      <c r="I309" s="179"/>
    </row>
    <row r="310" spans="2:9" s="14" customFormat="1" ht="11.25">
      <c r="B310" s="61"/>
      <c r="C310" s="61"/>
      <c r="D310" s="61"/>
      <c r="E310" s="61"/>
      <c r="I310" s="179"/>
    </row>
    <row r="311" spans="2:9" s="14" customFormat="1" ht="11.25">
      <c r="B311" s="61"/>
      <c r="C311" s="61"/>
      <c r="D311" s="61"/>
      <c r="E311" s="61"/>
      <c r="I311" s="179"/>
    </row>
    <row r="312" spans="2:9" s="14" customFormat="1" ht="11.25">
      <c r="B312" s="61"/>
      <c r="C312" s="61"/>
      <c r="D312" s="61"/>
      <c r="E312" s="61"/>
      <c r="I312" s="179"/>
    </row>
    <row r="313" spans="2:9" s="14" customFormat="1" ht="11.25">
      <c r="B313" s="61"/>
      <c r="C313" s="61"/>
      <c r="D313" s="61"/>
      <c r="E313" s="61"/>
      <c r="I313" s="179"/>
    </row>
    <row r="314" spans="2:9" s="14" customFormat="1" ht="11.25">
      <c r="B314" s="61"/>
      <c r="C314" s="61"/>
      <c r="D314" s="61"/>
      <c r="E314" s="61"/>
      <c r="I314" s="179"/>
    </row>
    <row r="315" spans="2:9" s="14" customFormat="1" ht="11.25">
      <c r="B315" s="61"/>
      <c r="C315" s="61"/>
      <c r="D315" s="61"/>
      <c r="E315" s="61"/>
      <c r="I315" s="179"/>
    </row>
    <row r="316" spans="2:9" s="14" customFormat="1" ht="11.25">
      <c r="B316" s="61"/>
      <c r="C316" s="61"/>
      <c r="D316" s="61"/>
      <c r="E316" s="61"/>
      <c r="I316" s="179"/>
    </row>
    <row r="317" spans="2:9" s="14" customFormat="1" ht="11.25">
      <c r="B317" s="61"/>
      <c r="C317" s="61"/>
      <c r="D317" s="61"/>
      <c r="E317" s="61"/>
      <c r="I317" s="179"/>
    </row>
    <row r="318" spans="2:9" s="14" customFormat="1" ht="11.25">
      <c r="B318" s="61"/>
      <c r="C318" s="61"/>
      <c r="D318" s="61"/>
      <c r="E318" s="61"/>
      <c r="I318" s="179"/>
    </row>
    <row r="319" spans="2:9" s="14" customFormat="1" ht="11.25">
      <c r="B319" s="61"/>
      <c r="C319" s="61"/>
      <c r="D319" s="61"/>
      <c r="E319" s="61"/>
      <c r="I319" s="179"/>
    </row>
    <row r="320" spans="2:9" s="14" customFormat="1" ht="11.25">
      <c r="B320" s="61"/>
      <c r="C320" s="61"/>
      <c r="D320" s="61"/>
      <c r="E320" s="61"/>
      <c r="I320" s="179"/>
    </row>
    <row r="321" spans="2:9" s="14" customFormat="1" ht="11.25">
      <c r="B321" s="61"/>
      <c r="C321" s="61"/>
      <c r="D321" s="61"/>
      <c r="E321" s="61"/>
      <c r="I321" s="179"/>
    </row>
    <row r="322" spans="2:9" s="14" customFormat="1" ht="11.25">
      <c r="B322" s="61"/>
      <c r="C322" s="61"/>
      <c r="D322" s="61"/>
      <c r="E322" s="61"/>
      <c r="I322" s="179"/>
    </row>
    <row r="323" spans="2:9" s="14" customFormat="1" ht="11.25">
      <c r="B323" s="61"/>
      <c r="C323" s="61"/>
      <c r="D323" s="61"/>
      <c r="E323" s="61"/>
      <c r="I323" s="179"/>
    </row>
    <row r="324" spans="2:9" s="14" customFormat="1" ht="11.25">
      <c r="B324" s="61"/>
      <c r="C324" s="61"/>
      <c r="D324" s="61"/>
      <c r="E324" s="61"/>
      <c r="I324" s="179"/>
    </row>
    <row r="325" spans="2:9" s="14" customFormat="1" ht="11.25">
      <c r="B325" s="61"/>
      <c r="C325" s="61"/>
      <c r="D325" s="61"/>
      <c r="E325" s="61"/>
      <c r="I325" s="179"/>
    </row>
    <row r="326" spans="2:9" s="14" customFormat="1" ht="11.25">
      <c r="B326" s="61"/>
      <c r="C326" s="61"/>
      <c r="D326" s="61"/>
      <c r="E326" s="61"/>
      <c r="I326" s="179"/>
    </row>
    <row r="327" spans="2:9" s="14" customFormat="1" ht="11.25">
      <c r="B327" s="61"/>
      <c r="C327" s="61"/>
      <c r="D327" s="61"/>
      <c r="E327" s="61"/>
      <c r="I327" s="179"/>
    </row>
    <row r="328" spans="2:9" s="14" customFormat="1" ht="11.25">
      <c r="B328" s="61"/>
      <c r="C328" s="61"/>
      <c r="D328" s="61"/>
      <c r="E328" s="61"/>
      <c r="I328" s="179"/>
    </row>
    <row r="329" spans="2:9" s="14" customFormat="1" ht="11.25">
      <c r="B329" s="61"/>
      <c r="C329" s="61"/>
      <c r="D329" s="61"/>
      <c r="E329" s="61"/>
      <c r="I329" s="179"/>
    </row>
    <row r="330" spans="2:9" s="14" customFormat="1" ht="11.25">
      <c r="B330" s="61"/>
      <c r="C330" s="61"/>
      <c r="D330" s="61"/>
      <c r="E330" s="61"/>
      <c r="I330" s="179"/>
    </row>
    <row r="331" spans="2:9" s="14" customFormat="1" ht="11.25">
      <c r="B331" s="61"/>
      <c r="C331" s="61"/>
      <c r="D331" s="61"/>
      <c r="E331" s="61"/>
      <c r="I331" s="179"/>
    </row>
    <row r="332" spans="2:9" s="14" customFormat="1" ht="11.25">
      <c r="B332" s="61"/>
      <c r="C332" s="61"/>
      <c r="D332" s="61"/>
      <c r="E332" s="61"/>
      <c r="I332" s="179"/>
    </row>
    <row r="333" spans="2:9" s="14" customFormat="1" ht="11.25">
      <c r="B333" s="61"/>
      <c r="C333" s="61"/>
      <c r="D333" s="61"/>
      <c r="E333" s="61"/>
      <c r="I333" s="179"/>
    </row>
    <row r="334" spans="2:9" s="14" customFormat="1" ht="11.25">
      <c r="B334" s="61"/>
      <c r="C334" s="61"/>
      <c r="D334" s="61"/>
      <c r="E334" s="61"/>
      <c r="I334" s="179"/>
    </row>
    <row r="335" spans="2:9" s="14" customFormat="1" ht="11.25">
      <c r="B335" s="61"/>
      <c r="C335" s="61"/>
      <c r="D335" s="61"/>
      <c r="E335" s="61"/>
      <c r="I335" s="179"/>
    </row>
    <row r="336" spans="2:9" s="14" customFormat="1" ht="11.25">
      <c r="B336" s="61"/>
      <c r="C336" s="61"/>
      <c r="D336" s="61"/>
      <c r="E336" s="61"/>
      <c r="I336" s="179"/>
    </row>
    <row r="337" spans="2:9" s="14" customFormat="1" ht="11.25">
      <c r="B337" s="61"/>
      <c r="C337" s="61"/>
      <c r="D337" s="61"/>
      <c r="E337" s="61"/>
      <c r="I337" s="179"/>
    </row>
    <row r="338" spans="2:9" s="14" customFormat="1" ht="11.25">
      <c r="B338" s="61"/>
      <c r="C338" s="61"/>
      <c r="D338" s="61"/>
      <c r="E338" s="61"/>
      <c r="I338" s="179"/>
    </row>
    <row r="339" spans="2:9" s="14" customFormat="1" ht="11.25">
      <c r="B339" s="61"/>
      <c r="C339" s="61"/>
      <c r="D339" s="61"/>
      <c r="E339" s="61"/>
      <c r="I339" s="179"/>
    </row>
    <row r="340" spans="2:9" s="14" customFormat="1" ht="11.25">
      <c r="B340" s="61"/>
      <c r="C340" s="61"/>
      <c r="D340" s="61"/>
      <c r="E340" s="61"/>
      <c r="I340" s="179"/>
    </row>
    <row r="341" spans="2:9" s="14" customFormat="1" ht="11.25">
      <c r="B341" s="61"/>
      <c r="C341" s="61"/>
      <c r="D341" s="61"/>
      <c r="E341" s="61"/>
      <c r="I341" s="179"/>
    </row>
    <row r="342" spans="2:9" s="14" customFormat="1" ht="11.25">
      <c r="B342" s="61"/>
      <c r="C342" s="61"/>
      <c r="D342" s="61"/>
      <c r="E342" s="61"/>
      <c r="I342" s="179"/>
    </row>
    <row r="343" spans="2:9" s="14" customFormat="1" ht="11.25">
      <c r="B343" s="61"/>
      <c r="C343" s="61"/>
      <c r="D343" s="61"/>
      <c r="E343" s="61"/>
      <c r="I343" s="179"/>
    </row>
    <row r="344" spans="2:9" s="14" customFormat="1" ht="11.25">
      <c r="B344" s="61"/>
      <c r="C344" s="61"/>
      <c r="D344" s="61"/>
      <c r="E344" s="61"/>
      <c r="I344" s="179"/>
    </row>
    <row r="345" spans="2:9" s="14" customFormat="1" ht="11.25">
      <c r="B345" s="61"/>
      <c r="C345" s="61"/>
      <c r="D345" s="61"/>
      <c r="E345" s="61"/>
      <c r="I345" s="179"/>
    </row>
    <row r="346" spans="2:9" s="14" customFormat="1" ht="11.25">
      <c r="B346" s="61"/>
      <c r="C346" s="61"/>
      <c r="D346" s="61"/>
      <c r="E346" s="61"/>
      <c r="I346" s="179"/>
    </row>
    <row r="347" spans="2:9" s="14" customFormat="1" ht="11.25">
      <c r="B347" s="61"/>
      <c r="C347" s="61"/>
      <c r="D347" s="61"/>
      <c r="E347" s="61"/>
      <c r="I347" s="179"/>
    </row>
    <row r="348" spans="2:9" s="14" customFormat="1" ht="11.25">
      <c r="B348" s="61"/>
      <c r="C348" s="61"/>
      <c r="D348" s="61"/>
      <c r="E348" s="61"/>
      <c r="I348" s="179"/>
    </row>
    <row r="349" spans="2:9" s="14" customFormat="1" ht="11.25">
      <c r="B349" s="61"/>
      <c r="C349" s="61"/>
      <c r="D349" s="61"/>
      <c r="E349" s="61"/>
      <c r="I349" s="179"/>
    </row>
    <row r="350" spans="2:9" s="14" customFormat="1" ht="11.25">
      <c r="B350" s="61"/>
      <c r="C350" s="61"/>
      <c r="D350" s="61"/>
      <c r="E350" s="61"/>
      <c r="I350" s="179"/>
    </row>
    <row r="351" spans="2:9" s="14" customFormat="1" ht="11.25">
      <c r="B351" s="61"/>
      <c r="C351" s="61"/>
      <c r="D351" s="61"/>
      <c r="E351" s="61"/>
      <c r="I351" s="179"/>
    </row>
    <row r="352" spans="2:9" s="14" customFormat="1" ht="11.25">
      <c r="B352" s="61"/>
      <c r="C352" s="61"/>
      <c r="D352" s="61"/>
      <c r="E352" s="61"/>
      <c r="I352" s="179"/>
    </row>
    <row r="353" spans="2:9" s="14" customFormat="1" ht="11.25">
      <c r="B353" s="61"/>
      <c r="C353" s="61"/>
      <c r="D353" s="61"/>
      <c r="E353" s="61"/>
      <c r="I353" s="179"/>
    </row>
    <row r="354" spans="2:9" s="14" customFormat="1" ht="11.25">
      <c r="B354" s="61"/>
      <c r="C354" s="61"/>
      <c r="D354" s="61"/>
      <c r="E354" s="61"/>
      <c r="I354" s="179"/>
    </row>
    <row r="355" spans="2:9" s="14" customFormat="1" ht="11.25">
      <c r="B355" s="61"/>
      <c r="C355" s="61"/>
      <c r="D355" s="61"/>
      <c r="E355" s="61"/>
      <c r="I355" s="179"/>
    </row>
    <row r="356" spans="2:9" s="14" customFormat="1" ht="11.25">
      <c r="B356" s="61"/>
      <c r="C356" s="61"/>
      <c r="D356" s="61"/>
      <c r="E356" s="61"/>
      <c r="I356" s="179"/>
    </row>
    <row r="357" spans="2:9" s="14" customFormat="1" ht="11.25">
      <c r="B357" s="61"/>
      <c r="C357" s="61"/>
      <c r="D357" s="61"/>
      <c r="E357" s="61"/>
      <c r="I357" s="179"/>
    </row>
    <row r="358" spans="2:9" s="14" customFormat="1" ht="11.25">
      <c r="B358" s="61"/>
      <c r="C358" s="61"/>
      <c r="D358" s="61"/>
      <c r="E358" s="61"/>
      <c r="I358" s="179"/>
    </row>
    <row r="359" spans="2:9" s="14" customFormat="1" ht="11.25">
      <c r="B359" s="61"/>
      <c r="C359" s="61"/>
      <c r="D359" s="61"/>
      <c r="E359" s="61"/>
      <c r="I359" s="179"/>
    </row>
  </sheetData>
  <sheetProtection formatColumns="0" formatRows="0"/>
  <mergeCells count="36">
    <mergeCell ref="A31:A34"/>
    <mergeCell ref="B31:B34"/>
    <mergeCell ref="E31:E34"/>
    <mergeCell ref="A50:A53"/>
    <mergeCell ref="B50:B53"/>
    <mergeCell ref="E50:E53"/>
    <mergeCell ref="A35:A39"/>
    <mergeCell ref="B35:B39"/>
    <mergeCell ref="E35:E39"/>
    <mergeCell ref="A43:A45"/>
    <mergeCell ref="A15:A22"/>
    <mergeCell ref="B15:B22"/>
    <mergeCell ref="E15:E22"/>
    <mergeCell ref="A23:A30"/>
    <mergeCell ref="B23:B30"/>
    <mergeCell ref="E23:E30"/>
    <mergeCell ref="B43:B45"/>
    <mergeCell ref="E43:E45"/>
    <mergeCell ref="A2:I2"/>
    <mergeCell ref="A4:A5"/>
    <mergeCell ref="B4:B5"/>
    <mergeCell ref="E4:E5"/>
    <mergeCell ref="F4:F5"/>
    <mergeCell ref="A8:A14"/>
    <mergeCell ref="B8:B14"/>
    <mergeCell ref="E8:E14"/>
    <mergeCell ref="K10:Q10"/>
    <mergeCell ref="K11:Q11"/>
    <mergeCell ref="K12:Q12"/>
    <mergeCell ref="K13:Q13"/>
    <mergeCell ref="K4:Q4"/>
    <mergeCell ref="K5:Q5"/>
    <mergeCell ref="K6:Q6"/>
    <mergeCell ref="K7:Q7"/>
    <mergeCell ref="K8:Q8"/>
    <mergeCell ref="K9:Q9"/>
  </mergeCells>
  <dataValidations count="92">
    <dataValidation type="decimal" allowBlank="1" showInputMessage="1" showErrorMessage="1" error="Ввведеное значение неверно" sqref="G8">
      <formula1>-1000000000000000</formula1>
      <formula2>1000000000000000</formula2>
    </dataValidation>
    <dataValidation type="decimal" allowBlank="1" showInputMessage="1" showErrorMessage="1" error="Ввведеное значение неверно" sqref="H8">
      <formula1>-1000000000000000</formula1>
      <formula2>1000000000000000</formula2>
    </dataValidation>
    <dataValidation type="decimal" allowBlank="1" showInputMessage="1" showErrorMessage="1" error="Ввведеное значение неверно" sqref="G9">
      <formula1>-1000000000000000</formula1>
      <formula2>1000000000000000</formula2>
    </dataValidation>
    <dataValidation type="decimal" allowBlank="1" showInputMessage="1" showErrorMessage="1" error="Ввведеное значение неверно" sqref="H9">
      <formula1>-1000000000000000</formula1>
      <formula2>1000000000000000</formula2>
    </dataValidation>
    <dataValidation type="decimal" allowBlank="1" showInputMessage="1" showErrorMessage="1" error="Ввведеное значение неверно" sqref="G10">
      <formula1>-1000000000000000</formula1>
      <formula2>1000000000000000</formula2>
    </dataValidation>
    <dataValidation type="decimal" allowBlank="1" showInputMessage="1" showErrorMessage="1" error="Ввведеное значение неверно" sqref="H10">
      <formula1>-1000000000000000</formula1>
      <formula2>1000000000000000</formula2>
    </dataValidation>
    <dataValidation type="decimal" allowBlank="1" showInputMessage="1" showErrorMessage="1" error="Ввведеное значение неверно" sqref="G11">
      <formula1>-1000000000000000</formula1>
      <formula2>1000000000000000</formula2>
    </dataValidation>
    <dataValidation type="decimal" allowBlank="1" showInputMessage="1" showErrorMessage="1" error="Ввведеное значение неверно" sqref="H11">
      <formula1>-1000000000000000</formula1>
      <formula2>1000000000000000</formula2>
    </dataValidation>
    <dataValidation type="decimal" allowBlank="1" showInputMessage="1" showErrorMessage="1" error="Ввведеное значение неверно" sqref="G12">
      <formula1>-1000000000000000</formula1>
      <formula2>1000000000000000</formula2>
    </dataValidation>
    <dataValidation type="decimal" allowBlank="1" showInputMessage="1" showErrorMessage="1" error="Ввведеное значение неверно" sqref="H12">
      <formula1>-1000000000000000</formula1>
      <formula2>1000000000000000</formula2>
    </dataValidation>
    <dataValidation type="decimal" allowBlank="1" showInputMessage="1" showErrorMessage="1" error="Ввведеное значение неверно" sqref="G13">
      <formula1>-1000000000000000</formula1>
      <formula2>1000000000000000</formula2>
    </dataValidation>
    <dataValidation type="decimal" allowBlank="1" showInputMessage="1" showErrorMessage="1" error="Ввведеное значение неверно" sqref="H13">
      <formula1>-1000000000000000</formula1>
      <formula2>1000000000000000</formula2>
    </dataValidation>
    <dataValidation type="decimal" allowBlank="1" showInputMessage="1" showErrorMessage="1" error="Ввведеное значение неверно" sqref="G14">
      <formula1>-1000000000000000</formula1>
      <formula2>1000000000000000</formula2>
    </dataValidation>
    <dataValidation type="decimal" allowBlank="1" showInputMessage="1" showErrorMessage="1" error="Ввведеное значение неверно" sqref="H14">
      <formula1>-1000000000000000</formula1>
      <formula2>1000000000000000</formula2>
    </dataValidation>
    <dataValidation type="decimal" allowBlank="1" showInputMessage="1" showErrorMessage="1" error="Ввведеное значение неверно" sqref="G15">
      <formula1>-1000000000000000</formula1>
      <formula2>1000000000000000</formula2>
    </dataValidation>
    <dataValidation type="decimal" allowBlank="1" showInputMessage="1" showErrorMessage="1" error="Ввведеное значение неверно" sqref="H15">
      <formula1>-1000000000000000</formula1>
      <formula2>1000000000000000</formula2>
    </dataValidation>
    <dataValidation type="decimal" allowBlank="1" showInputMessage="1" showErrorMessage="1" error="Ввведеное значение неверно" sqref="G16">
      <formula1>-1000000000000000</formula1>
      <formula2>1000000000000000</formula2>
    </dataValidation>
    <dataValidation type="decimal" allowBlank="1" showInputMessage="1" showErrorMessage="1" error="Ввведеное значение неверно" sqref="H16">
      <formula1>-1000000000000000</formula1>
      <formula2>1000000000000000</formula2>
    </dataValidation>
    <dataValidation type="decimal" allowBlank="1" showInputMessage="1" showErrorMessage="1" error="Ввведеное значение неверно" sqref="G17">
      <formula1>-1000000000000000</formula1>
      <formula2>1000000000000000</formula2>
    </dataValidation>
    <dataValidation type="decimal" allowBlank="1" showInputMessage="1" showErrorMessage="1" error="Ввведеное значение неверно" sqref="H17">
      <formula1>-1000000000000000</formula1>
      <formula2>1000000000000000</formula2>
    </dataValidation>
    <dataValidation type="decimal" allowBlank="1" showInputMessage="1" showErrorMessage="1" error="Ввведеное значение неверно" sqref="G18">
      <formula1>-1000000000000000</formula1>
      <formula2>1000000000000000</formula2>
    </dataValidation>
    <dataValidation type="decimal" allowBlank="1" showInputMessage="1" showErrorMessage="1" error="Ввведеное значение неверно" sqref="H18">
      <formula1>-1000000000000000</formula1>
      <formula2>1000000000000000</formula2>
    </dataValidation>
    <dataValidation type="decimal" allowBlank="1" showInputMessage="1" showErrorMessage="1" error="Ввведеное значение неверно" sqref="G19">
      <formula1>-1000000000000000</formula1>
      <formula2>1000000000000000</formula2>
    </dataValidation>
    <dataValidation type="decimal" allowBlank="1" showInputMessage="1" showErrorMessage="1" error="Ввведеное значение неверно" sqref="H19">
      <formula1>-1000000000000000</formula1>
      <formula2>1000000000000000</formula2>
    </dataValidation>
    <dataValidation type="decimal" allowBlank="1" showInputMessage="1" showErrorMessage="1" error="Ввведеное значение неверно" sqref="G20">
      <formula1>-1000000000000000</formula1>
      <formula2>1000000000000000</formula2>
    </dataValidation>
    <dataValidation type="decimal" allowBlank="1" showInputMessage="1" showErrorMessage="1" error="Ввведеное значение неверно" sqref="H20">
      <formula1>-1000000000000000</formula1>
      <formula2>1000000000000000</formula2>
    </dataValidation>
    <dataValidation type="decimal" allowBlank="1" showInputMessage="1" showErrorMessage="1" error="Ввведеное значение неверно" sqref="G21">
      <formula1>-1000000000000000</formula1>
      <formula2>1000000000000000</formula2>
    </dataValidation>
    <dataValidation type="decimal" allowBlank="1" showInputMessage="1" showErrorMessage="1" error="Ввведеное значение неверно" sqref="H21">
      <formula1>-1000000000000000</formula1>
      <formula2>1000000000000000</formula2>
    </dataValidation>
    <dataValidation type="decimal" allowBlank="1" showInputMessage="1" showErrorMessage="1" error="Ввведеное значение неверно" sqref="G22">
      <formula1>-1000000000000000</formula1>
      <formula2>1000000000000000</formula2>
    </dataValidation>
    <dataValidation type="decimal" allowBlank="1" showInputMessage="1" showErrorMessage="1" error="Ввведеное значение неверно" sqref="H22">
      <formula1>-1000000000000000</formula1>
      <formula2>1000000000000000</formula2>
    </dataValidation>
    <dataValidation type="decimal" allowBlank="1" showInputMessage="1" showErrorMessage="1" error="Ввведеное значение неверно" sqref="G23">
      <formula1>-1000000000000000</formula1>
      <formula2>1000000000000000</formula2>
    </dataValidation>
    <dataValidation type="decimal" allowBlank="1" showInputMessage="1" showErrorMessage="1" error="Ввведеное значение неверно" sqref="H23">
      <formula1>-1000000000000000</formula1>
      <formula2>1000000000000000</formula2>
    </dataValidation>
    <dataValidation type="decimal" allowBlank="1" showInputMessage="1" showErrorMessage="1" error="Ввведеное значение неверно" sqref="G24">
      <formula1>-1000000000000000</formula1>
      <formula2>1000000000000000</formula2>
    </dataValidation>
    <dataValidation type="decimal" allowBlank="1" showInputMessage="1" showErrorMessage="1" error="Ввведеное значение неверно" sqref="H24">
      <formula1>-1000000000000000</formula1>
      <formula2>1000000000000000</formula2>
    </dataValidation>
    <dataValidation type="decimal" allowBlank="1" showInputMessage="1" showErrorMessage="1" error="Ввведеное значение неверно" sqref="G25">
      <formula1>-1000000000000000</formula1>
      <formula2>1000000000000000</formula2>
    </dataValidation>
    <dataValidation type="decimal" allowBlank="1" showInputMessage="1" showErrorMessage="1" error="Ввведеное значение неверно" sqref="H25">
      <formula1>-1000000000000000</formula1>
      <formula2>1000000000000000</formula2>
    </dataValidation>
    <dataValidation type="decimal" allowBlank="1" showInputMessage="1" showErrorMessage="1" error="Ввведеное значение неверно" sqref="G26">
      <formula1>-1000000000000000</formula1>
      <formula2>1000000000000000</formula2>
    </dataValidation>
    <dataValidation type="decimal" allowBlank="1" showInputMessage="1" showErrorMessage="1" error="Ввведеное значение неверно" sqref="H26">
      <formula1>-1000000000000000</formula1>
      <formula2>1000000000000000</formula2>
    </dataValidation>
    <dataValidation type="decimal" allowBlank="1" showInputMessage="1" showErrorMessage="1" error="Ввведеное значение неверно" sqref="G27">
      <formula1>-1000000000000000</formula1>
      <formula2>1000000000000000</formula2>
    </dataValidation>
    <dataValidation type="decimal" allowBlank="1" showInputMessage="1" showErrorMessage="1" error="Ввведеное значение неверно" sqref="H27">
      <formula1>-1000000000000000</formula1>
      <formula2>1000000000000000</formula2>
    </dataValidation>
    <dataValidation type="decimal" allowBlank="1" showInputMessage="1" showErrorMessage="1" error="Ввведеное значение неверно" sqref="G28">
      <formula1>-1000000000000000</formula1>
      <formula2>1000000000000000</formula2>
    </dataValidation>
    <dataValidation type="decimal" allowBlank="1" showInputMessage="1" showErrorMessage="1" error="Ввведеное значение неверно" sqref="H28">
      <formula1>-1000000000000000</formula1>
      <formula2>1000000000000000</formula2>
    </dataValidation>
    <dataValidation type="decimal" allowBlank="1" showInputMessage="1" showErrorMessage="1" error="Ввведеное значение неверно" sqref="G29">
      <formula1>-1000000000000000</formula1>
      <formula2>1000000000000000</formula2>
    </dataValidation>
    <dataValidation type="decimal" allowBlank="1" showInputMessage="1" showErrorMessage="1" error="Ввведеное значение неверно" sqref="H29">
      <formula1>-1000000000000000</formula1>
      <formula2>1000000000000000</formula2>
    </dataValidation>
    <dataValidation type="decimal" allowBlank="1" showInputMessage="1" showErrorMessage="1" error="Ввведеное значение неверно" sqref="G30">
      <formula1>-1000000000000000</formula1>
      <formula2>1000000000000000</formula2>
    </dataValidation>
    <dataValidation type="decimal" allowBlank="1" showInputMessage="1" showErrorMessage="1" error="Ввведеное значение неверно" sqref="H30">
      <formula1>-1000000000000000</formula1>
      <formula2>1000000000000000</formula2>
    </dataValidation>
    <dataValidation type="decimal" allowBlank="1" showInputMessage="1" showErrorMessage="1" error="Ввведеное значение неверно" sqref="G31">
      <formula1>-1000000000000000</formula1>
      <formula2>1000000000000000</formula2>
    </dataValidation>
    <dataValidation type="decimal" allowBlank="1" showInputMessage="1" showErrorMessage="1" error="Ввведеное значение неверно" sqref="H31">
      <formula1>-1000000000000000</formula1>
      <formula2>1000000000000000</formula2>
    </dataValidation>
    <dataValidation type="decimal" allowBlank="1" showInputMessage="1" showErrorMessage="1" error="Ввведеное значение неверно" sqref="G32">
      <formula1>-1000000000000000</formula1>
      <formula2>1000000000000000</formula2>
    </dataValidation>
    <dataValidation type="decimal" allowBlank="1" showInputMessage="1" showErrorMessage="1" error="Ввведеное значение неверно" sqref="H32">
      <formula1>-1000000000000000</formula1>
      <formula2>1000000000000000</formula2>
    </dataValidation>
    <dataValidation type="decimal" allowBlank="1" showInputMessage="1" showErrorMessage="1" error="Ввведеное значение неверно" sqref="G33">
      <formula1>-1000000000000000</formula1>
      <formula2>1000000000000000</formula2>
    </dataValidation>
    <dataValidation type="decimal" allowBlank="1" showInputMessage="1" showErrorMessage="1" error="Ввведеное значение неверно" sqref="H33">
      <formula1>-1000000000000000</formula1>
      <formula2>1000000000000000</formula2>
    </dataValidation>
    <dataValidation type="decimal" allowBlank="1" showInputMessage="1" showErrorMessage="1" error="Ввведеное значение неверно" sqref="G34">
      <formula1>-1000000000000000</formula1>
      <formula2>1000000000000000</formula2>
    </dataValidation>
    <dataValidation type="decimal" allowBlank="1" showInputMessage="1" showErrorMessage="1" error="Ввведеное значение неверно" sqref="H34">
      <formula1>-1000000000000000</formula1>
      <formula2>1000000000000000</formula2>
    </dataValidation>
    <dataValidation type="decimal" allowBlank="1" showInputMessage="1" showErrorMessage="1" error="Ввведеное значение неверно" sqref="G35">
      <formula1>-1000000000000000</formula1>
      <formula2>1000000000000000</formula2>
    </dataValidation>
    <dataValidation type="decimal" allowBlank="1" showInputMessage="1" showErrorMessage="1" error="Ввведеное значение неверно" sqref="H35">
      <formula1>-1000000000000000</formula1>
      <formula2>1000000000000000</formula2>
    </dataValidation>
    <dataValidation type="decimal" allowBlank="1" showInputMessage="1" showErrorMessage="1" error="Ввведеное значение неверно" sqref="G36">
      <formula1>-1000000000000000</formula1>
      <formula2>1000000000000000</formula2>
    </dataValidation>
    <dataValidation type="decimal" allowBlank="1" showInputMessage="1" showErrorMessage="1" error="Ввведеное значение неверно" sqref="H36">
      <formula1>-1000000000000000</formula1>
      <formula2>1000000000000000</formula2>
    </dataValidation>
    <dataValidation type="decimal" allowBlank="1" showInputMessage="1" showErrorMessage="1" error="Ввведеное значение неверно" sqref="G37">
      <formula1>-1000000000000000</formula1>
      <formula2>1000000000000000</formula2>
    </dataValidation>
    <dataValidation type="decimal" allowBlank="1" showInputMessage="1" showErrorMessage="1" error="Ввведеное значение неверно" sqref="H37">
      <formula1>-1000000000000000</formula1>
      <formula2>1000000000000000</formula2>
    </dataValidation>
    <dataValidation type="decimal" allowBlank="1" showInputMessage="1" showErrorMessage="1" error="Ввведеное значение неверно" sqref="G38">
      <formula1>-1000000000000000</formula1>
      <formula2>1000000000000000</formula2>
    </dataValidation>
    <dataValidation type="decimal" allowBlank="1" showInputMessage="1" showErrorMessage="1" error="Ввведеное значение неверно" sqref="H38">
      <formula1>-1000000000000000</formula1>
      <formula2>1000000000000000</formula2>
    </dataValidation>
    <dataValidation type="decimal" allowBlank="1" showInputMessage="1" showErrorMessage="1" error="Ввведеное значение неверно" sqref="G39">
      <formula1>-1000000000000000</formula1>
      <formula2>1000000000000000</formula2>
    </dataValidation>
    <dataValidation type="decimal" allowBlank="1" showInputMessage="1" showErrorMessage="1" error="Ввведеное значение неверно" sqref="H39">
      <formula1>-1000000000000000</formula1>
      <formula2>1000000000000000</formula2>
    </dataValidation>
    <dataValidation type="decimal" allowBlank="1" showInputMessage="1" showErrorMessage="1" error="Ввведеное значение неверно" sqref="G40">
      <formula1>-1000000000000000</formula1>
      <formula2>1000000000000000</formula2>
    </dataValidation>
    <dataValidation type="decimal" allowBlank="1" showInputMessage="1" showErrorMessage="1" error="Ввведеное значение неверно" sqref="H40">
      <formula1>-1000000000000000</formula1>
      <formula2>1000000000000000</formula2>
    </dataValidation>
    <dataValidation type="decimal" allowBlank="1" showInputMessage="1" showErrorMessage="1" error="Ввведеное значение неверно" sqref="G41">
      <formula1>-1000000000000000</formula1>
      <formula2>1000000000000000</formula2>
    </dataValidation>
    <dataValidation type="decimal" allowBlank="1" showInputMessage="1" showErrorMessage="1" error="Ввведеное значение неверно" sqref="H41">
      <formula1>-1000000000000000</formula1>
      <formula2>1000000000000000</formula2>
    </dataValidation>
    <dataValidation type="decimal" allowBlank="1" showInputMessage="1" showErrorMessage="1" error="Ввведеное значение неверно" sqref="G42">
      <formula1>-1000000000000000</formula1>
      <formula2>1000000000000000</formula2>
    </dataValidation>
    <dataValidation type="decimal" allowBlank="1" showInputMessage="1" showErrorMessage="1" error="Ввведеное значение неверно" sqref="H42">
      <formula1>-1000000000000000</formula1>
      <formula2>1000000000000000</formula2>
    </dataValidation>
    <dataValidation type="decimal" allowBlank="1" showInputMessage="1" showErrorMessage="1" error="Ввведеное значение неверно" sqref="G43">
      <formula1>-1000000000000000</formula1>
      <formula2>1000000000000000</formula2>
    </dataValidation>
    <dataValidation type="decimal" allowBlank="1" showInputMessage="1" showErrorMessage="1" error="Ввведеное значение неверно" sqref="H43">
      <formula1>-1000000000000000</formula1>
      <formula2>1000000000000000</formula2>
    </dataValidation>
    <dataValidation type="decimal" allowBlank="1" showInputMessage="1" showErrorMessage="1" error="Ввведеное значение неверно" sqref="G44">
      <formula1>-1000000000000000</formula1>
      <formula2>1000000000000000</formula2>
    </dataValidation>
    <dataValidation type="decimal" allowBlank="1" showInputMessage="1" showErrorMessage="1" error="Ввведеное значение неверно" sqref="H44">
      <formula1>-1000000000000000</formula1>
      <formula2>1000000000000000</formula2>
    </dataValidation>
    <dataValidation type="decimal" allowBlank="1" showInputMessage="1" showErrorMessage="1" error="Ввведеное значение неверно" sqref="G45">
      <formula1>-1000000000000000</formula1>
      <formula2>1000000000000000</formula2>
    </dataValidation>
    <dataValidation type="decimal" allowBlank="1" showInputMessage="1" showErrorMessage="1" error="Ввведеное значение неверно" sqref="H45">
      <formula1>-1000000000000000</formula1>
      <formula2>1000000000000000</formula2>
    </dataValidation>
    <dataValidation type="decimal" allowBlank="1" showInputMessage="1" showErrorMessage="1" error="Ввведеное значение неверно" sqref="G46">
      <formula1>-1000000000000000</formula1>
      <formula2>1000000000000000</formula2>
    </dataValidation>
    <dataValidation type="decimal" allowBlank="1" showInputMessage="1" showErrorMessage="1" error="Ввведеное значение неверно" sqref="H46">
      <formula1>-1000000000000000</formula1>
      <formula2>1000000000000000</formula2>
    </dataValidation>
    <dataValidation type="decimal" allowBlank="1" showInputMessage="1" showErrorMessage="1" error="Ввведеное значение неверно" sqref="G47">
      <formula1>-1000000000000000</formula1>
      <formula2>1000000000000000</formula2>
    </dataValidation>
    <dataValidation type="decimal" allowBlank="1" showInputMessage="1" showErrorMessage="1" error="Ввведеное значение неверно" sqref="H47">
      <formula1>-1000000000000000</formula1>
      <formula2>1000000000000000</formula2>
    </dataValidation>
    <dataValidation type="decimal" allowBlank="1" showInputMessage="1" showErrorMessage="1" error="Ввведеное значение неверно" sqref="G48">
      <formula1>-1000000000000000</formula1>
      <formula2>1000000000000000</formula2>
    </dataValidation>
    <dataValidation type="decimal" allowBlank="1" showInputMessage="1" showErrorMessage="1" error="Ввведеное значение неверно" sqref="H48">
      <formula1>-1000000000000000</formula1>
      <formula2>1000000000000000</formula2>
    </dataValidation>
    <dataValidation type="decimal" allowBlank="1" showInputMessage="1" showErrorMessage="1" error="Ввведеное значение неверно" sqref="G49">
      <formula1>-1000000000000000</formula1>
      <formula2>1000000000000000</formula2>
    </dataValidation>
    <dataValidation type="decimal" allowBlank="1" showInputMessage="1" showErrorMessage="1" error="Ввведеное значение неверно" sqref="H49">
      <formula1>-1000000000000000</formula1>
      <formula2>1000000000000000</formula2>
    </dataValidation>
    <dataValidation type="decimal" allowBlank="1" showInputMessage="1" showErrorMessage="1" error="Ввведеное значение неверно" sqref="G50">
      <formula1>-1000000000000000</formula1>
      <formula2>1000000000000000</formula2>
    </dataValidation>
    <dataValidation type="decimal" allowBlank="1" showInputMessage="1" showErrorMessage="1" error="Ввведеное значение неверно" sqref="H50">
      <formula1>-1000000000000000</formula1>
      <formula2>1000000000000000</formula2>
    </dataValidation>
    <dataValidation type="decimal" allowBlank="1" showInputMessage="1" showErrorMessage="1" error="Ввведеное значение неверно" sqref="G51">
      <formula1>-1000000000000000</formula1>
      <formula2>1000000000000000</formula2>
    </dataValidation>
    <dataValidation type="decimal" allowBlank="1" showInputMessage="1" showErrorMessage="1" error="Ввведеное значение неверно" sqref="H51">
      <formula1>-1000000000000000</formula1>
      <formula2>1000000000000000</formula2>
    </dataValidation>
    <dataValidation type="decimal" allowBlank="1" showInputMessage="1" showErrorMessage="1" error="Ввведеное значение неверно" sqref="G52">
      <formula1>-1000000000000000</formula1>
      <formula2>1000000000000000</formula2>
    </dataValidation>
    <dataValidation type="decimal" allowBlank="1" showInputMessage="1" showErrorMessage="1" error="Ввведеное значение неверно" sqref="H52">
      <formula1>-1000000000000000</formula1>
      <formula2>1000000000000000</formula2>
    </dataValidation>
    <dataValidation type="decimal" allowBlank="1" showInputMessage="1" showErrorMessage="1" error="Ввведеное значение неверно" sqref="G53">
      <formula1>-1000000000000000</formula1>
      <formula2>1000000000000000</formula2>
    </dataValidation>
    <dataValidation type="decimal" allowBlank="1" showInputMessage="1" showErrorMessage="1" error="Ввведеное значение неверно" sqref="H53">
      <formula1>-1000000000000000</formula1>
      <formula2>1000000000000000</formula2>
    </dataValidation>
  </dataValidations>
  <printOptions/>
  <pageMargins left="0.6692913385826772" right="0.15748031496062992" top="0.35433070866141736" bottom="0.31496062992125984" header="0.2362204724409449" footer="0.2362204724409449"/>
  <pageSetup horizontalDpi="600" verticalDpi="600" orientation="portrait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Лист14">
    <pageSetUpPr fitToPage="1"/>
  </sheetPr>
  <dimension ref="A1:P183"/>
  <sheetViews>
    <sheetView tabSelected="1" zoomScale="85" zoomScaleNormal="85" zoomScalePageLayoutView="0" workbookViewId="0" topLeftCell="A2">
      <pane ySplit="9" topLeftCell="A11" activePane="bottomLeft" state="frozen"/>
      <selection pane="topLeft" activeCell="A2" sqref="A2"/>
      <selection pane="bottomLeft" activeCell="G193" sqref="G193"/>
    </sheetView>
  </sheetViews>
  <sheetFormatPr defaultColWidth="71.140625" defaultRowHeight="11.25"/>
  <cols>
    <col min="1" max="1" width="6.7109375" style="192" customWidth="1"/>
    <col min="2" max="2" width="32.00390625" style="189" customWidth="1"/>
    <col min="3" max="3" width="62.140625" style="189" hidden="1" customWidth="1"/>
    <col min="4" max="5" width="8.7109375" style="189" hidden="1" customWidth="1"/>
    <col min="6" max="6" width="20.00390625" style="190" customWidth="1"/>
    <col min="7" max="7" width="21.8515625" style="190" customWidth="1"/>
    <col min="8" max="8" width="17.57421875" style="190" customWidth="1"/>
    <col min="9" max="9" width="21.28125" style="191" customWidth="1"/>
    <col min="10" max="11" width="21.28125" style="190" customWidth="1"/>
    <col min="12" max="13" width="21.28125" style="191" customWidth="1"/>
    <col min="14" max="15" width="21.28125" style="190" customWidth="1"/>
    <col min="16" max="16" width="71.140625" style="189" hidden="1" customWidth="1"/>
    <col min="17" max="17" width="9.140625" style="0" customWidth="1"/>
    <col min="18" max="16384" width="71.140625" style="189" customWidth="1"/>
  </cols>
  <sheetData>
    <row r="1" spans="1:13" ht="12.75" hidden="1">
      <c r="A1" s="34" t="str">
        <f>Справочники!E13</f>
        <v>Мурманская область</v>
      </c>
      <c r="B1" s="241" t="str">
        <f>Справочники!D21</f>
        <v>МУП "Кировская горэлектросеть"</v>
      </c>
      <c r="M1" s="190" t="s">
        <v>144</v>
      </c>
    </row>
    <row r="2" spans="1:13" ht="26.25" customHeight="1">
      <c r="A2" s="189"/>
      <c r="B2" s="899" t="s">
        <v>1335</v>
      </c>
      <c r="C2" s="899"/>
      <c r="D2" s="899"/>
      <c r="E2" s="899"/>
      <c r="F2" s="899"/>
      <c r="G2" s="899"/>
      <c r="H2" s="899"/>
      <c r="I2" s="899"/>
      <c r="J2" s="899"/>
      <c r="K2" s="899"/>
      <c r="M2" s="190"/>
    </row>
    <row r="3" spans="1:13" ht="12.75">
      <c r="A3" s="34"/>
      <c r="M3" s="190"/>
    </row>
    <row r="4" spans="1:15" ht="15" customHeight="1">
      <c r="A4" s="896" t="s">
        <v>1226</v>
      </c>
      <c r="B4" s="896"/>
      <c r="C4" s="896"/>
      <c r="D4" s="896"/>
      <c r="E4" s="896"/>
      <c r="F4" s="896"/>
      <c r="G4" s="896"/>
      <c r="H4" s="896"/>
      <c r="I4" s="896"/>
      <c r="J4" s="896"/>
      <c r="K4" s="896"/>
      <c r="L4" s="896"/>
      <c r="M4" s="896"/>
      <c r="N4" s="896"/>
      <c r="O4" s="896"/>
    </row>
    <row r="5" spans="8:13" ht="13.5" thickBot="1">
      <c r="H5" s="193"/>
      <c r="I5" s="193"/>
      <c r="J5" s="193"/>
      <c r="K5" s="193"/>
      <c r="L5" s="193"/>
      <c r="M5" s="193"/>
    </row>
    <row r="6" spans="1:15" ht="23.25" customHeight="1">
      <c r="A6" s="221" t="s">
        <v>86</v>
      </c>
      <c r="B6" s="281" t="s">
        <v>563</v>
      </c>
      <c r="C6" s="222" t="s">
        <v>564</v>
      </c>
      <c r="D6" s="282"/>
      <c r="E6" s="282"/>
      <c r="F6" s="281" t="s">
        <v>565</v>
      </c>
      <c r="G6" s="281" t="s">
        <v>566</v>
      </c>
      <c r="H6" s="220"/>
      <c r="I6" s="220"/>
      <c r="J6" s="281" t="s">
        <v>567</v>
      </c>
      <c r="K6" s="220"/>
      <c r="L6" s="220"/>
      <c r="M6" s="281" t="s">
        <v>568</v>
      </c>
      <c r="N6" s="897" t="s">
        <v>569</v>
      </c>
      <c r="O6" s="898"/>
    </row>
    <row r="7" spans="1:15" ht="59.25" customHeight="1">
      <c r="A7" s="5"/>
      <c r="B7" s="57"/>
      <c r="C7" s="223"/>
      <c r="D7" s="260"/>
      <c r="E7" s="260"/>
      <c r="F7" s="57"/>
      <c r="G7" s="194" t="s">
        <v>570</v>
      </c>
      <c r="H7" s="194" t="s">
        <v>571</v>
      </c>
      <c r="I7" s="194" t="s">
        <v>572</v>
      </c>
      <c r="J7" s="194" t="s">
        <v>570</v>
      </c>
      <c r="K7" s="194" t="s">
        <v>571</v>
      </c>
      <c r="L7" s="194" t="s">
        <v>573</v>
      </c>
      <c r="M7" s="57"/>
      <c r="N7" s="194" t="s">
        <v>574</v>
      </c>
      <c r="O7" s="195" t="s">
        <v>571</v>
      </c>
    </row>
    <row r="8" spans="1:15" ht="12.75">
      <c r="A8" s="5"/>
      <c r="B8" s="57"/>
      <c r="C8" s="223"/>
      <c r="D8" s="260"/>
      <c r="E8" s="260"/>
      <c r="F8" s="194" t="s">
        <v>575</v>
      </c>
      <c r="G8" s="194" t="s">
        <v>575</v>
      </c>
      <c r="H8" s="194" t="s">
        <v>576</v>
      </c>
      <c r="I8" s="194" t="s">
        <v>577</v>
      </c>
      <c r="J8" s="194" t="s">
        <v>575</v>
      </c>
      <c r="K8" s="194" t="s">
        <v>576</v>
      </c>
      <c r="L8" s="194" t="s">
        <v>577</v>
      </c>
      <c r="M8" s="194" t="s">
        <v>577</v>
      </c>
      <c r="N8" s="194" t="s">
        <v>575</v>
      </c>
      <c r="O8" s="195" t="s">
        <v>576</v>
      </c>
    </row>
    <row r="9" spans="1:15" ht="12.75">
      <c r="A9" s="214">
        <v>1</v>
      </c>
      <c r="B9" s="194">
        <v>2</v>
      </c>
      <c r="C9" s="223"/>
      <c r="D9" s="260"/>
      <c r="E9" s="260"/>
      <c r="F9" s="194">
        <v>3</v>
      </c>
      <c r="G9" s="194">
        <v>4</v>
      </c>
      <c r="H9" s="194">
        <v>5</v>
      </c>
      <c r="I9" s="261">
        <v>7</v>
      </c>
      <c r="J9" s="194">
        <v>8</v>
      </c>
      <c r="K9" s="194">
        <v>9</v>
      </c>
      <c r="L9" s="261">
        <v>11</v>
      </c>
      <c r="M9" s="261">
        <v>12</v>
      </c>
      <c r="N9" s="261" t="s">
        <v>578</v>
      </c>
      <c r="O9" s="283" t="s">
        <v>579</v>
      </c>
    </row>
    <row r="10" spans="1:15" ht="12.75" hidden="1">
      <c r="A10" s="214"/>
      <c r="B10" s="194"/>
      <c r="C10" s="223"/>
      <c r="D10" s="260"/>
      <c r="E10" s="260"/>
      <c r="F10" s="194" t="s">
        <v>38</v>
      </c>
      <c r="G10" s="194" t="s">
        <v>71</v>
      </c>
      <c r="H10" s="194" t="s">
        <v>77</v>
      </c>
      <c r="I10" s="194" t="s">
        <v>80</v>
      </c>
      <c r="J10" s="194" t="s">
        <v>124</v>
      </c>
      <c r="K10" s="194" t="s">
        <v>394</v>
      </c>
      <c r="L10" s="194" t="s">
        <v>395</v>
      </c>
      <c r="M10" s="194" t="s">
        <v>396</v>
      </c>
      <c r="N10" s="194" t="s">
        <v>698</v>
      </c>
      <c r="O10" s="195" t="s">
        <v>757</v>
      </c>
    </row>
    <row r="11" spans="1:15" ht="18" customHeight="1">
      <c r="A11" s="284"/>
      <c r="B11" s="262" t="s">
        <v>1304</v>
      </c>
      <c r="C11" s="262"/>
      <c r="D11" s="260"/>
      <c r="E11" s="260"/>
      <c r="F11" s="263"/>
      <c r="G11" s="263"/>
      <c r="H11" s="264"/>
      <c r="I11" s="264"/>
      <c r="J11" s="265"/>
      <c r="K11" s="265"/>
      <c r="L11" s="266"/>
      <c r="M11" s="266"/>
      <c r="N11" s="267"/>
      <c r="O11" s="285"/>
    </row>
    <row r="12" spans="1:16" s="200" customFormat="1" ht="33" customHeight="1">
      <c r="A12" s="196"/>
      <c r="B12" s="197" t="s">
        <v>581</v>
      </c>
      <c r="C12" s="197" t="s">
        <v>87</v>
      </c>
      <c r="D12" s="268" t="s">
        <v>87</v>
      </c>
      <c r="E12" s="268" t="s">
        <v>580</v>
      </c>
      <c r="F12" s="198">
        <f>IF(H12=0,0,(F13*H13+F26*H26++F32*H32)/H12)</f>
        <v>0</v>
      </c>
      <c r="G12" s="198">
        <f>IF(H12=0,0,(G13*H13+G26*H26+G32*H32)/H12)</f>
        <v>0</v>
      </c>
      <c r="H12" s="198">
        <f>SUM(H13,H26,H32,H38,H44)</f>
        <v>38.61300000000001</v>
      </c>
      <c r="I12" s="198">
        <f>SUM(I13,I26,I32,I38,I44)</f>
        <v>0</v>
      </c>
      <c r="J12" s="269"/>
      <c r="K12" s="198">
        <f>SUM(K13,K26,K32,K38,K44)</f>
        <v>0</v>
      </c>
      <c r="L12" s="198">
        <f>SUM(L13,L26,L32,L38,L44)</f>
        <v>0</v>
      </c>
      <c r="M12" s="198">
        <f>SUM(M13,M26,M32,M38,M44)</f>
        <v>0</v>
      </c>
      <c r="N12" s="270">
        <f>IF(O12=0,0,((N13*O13)+(N26*O26)+(N32*O32))/O12)</f>
        <v>0</v>
      </c>
      <c r="O12" s="199">
        <f aca="true" t="shared" si="0" ref="O12:O25">SUM(H12,K12)</f>
        <v>38.61300000000001</v>
      </c>
      <c r="P12" s="200" t="s">
        <v>582</v>
      </c>
    </row>
    <row r="13" spans="1:16" s="205" customFormat="1" ht="15.75" customHeight="1">
      <c r="A13" s="201" t="s">
        <v>36</v>
      </c>
      <c r="B13" s="271" t="s">
        <v>583</v>
      </c>
      <c r="C13" s="202" t="s">
        <v>583</v>
      </c>
      <c r="D13" s="272" t="s">
        <v>87</v>
      </c>
      <c r="E13" s="272" t="s">
        <v>580</v>
      </c>
      <c r="F13" s="273">
        <f>IF(H13=0,0,(F18*H18+F24*H24)/H13)</f>
        <v>0</v>
      </c>
      <c r="G13" s="273">
        <f>IF(H13=0,0,(G18*H18+G24*H24)/H13)</f>
        <v>0</v>
      </c>
      <c r="H13" s="203">
        <f>SUM(H14,H20)</f>
        <v>35.883</v>
      </c>
      <c r="I13" s="203">
        <f>SUM(I14,I20)</f>
        <v>0</v>
      </c>
      <c r="J13" s="273"/>
      <c r="K13" s="203">
        <f>SUM(K14,K20)</f>
        <v>0</v>
      </c>
      <c r="L13" s="203">
        <f>SUM(L14,L20)</f>
        <v>0</v>
      </c>
      <c r="M13" s="203">
        <f>SUM(L13,I13)</f>
        <v>0</v>
      </c>
      <c r="N13" s="274">
        <f>IF(O13=0,0,((N14*O14)+(N20*O20))/O13)</f>
        <v>0</v>
      </c>
      <c r="O13" s="204">
        <f t="shared" si="0"/>
        <v>35.883</v>
      </c>
      <c r="P13" s="205" t="s">
        <v>582</v>
      </c>
    </row>
    <row r="14" spans="1:16" ht="21" customHeight="1">
      <c r="A14" s="206" t="s">
        <v>90</v>
      </c>
      <c r="B14" s="202" t="s">
        <v>584</v>
      </c>
      <c r="C14" s="202" t="s">
        <v>585</v>
      </c>
      <c r="D14" s="260" t="s">
        <v>87</v>
      </c>
      <c r="E14" s="268" t="s">
        <v>580</v>
      </c>
      <c r="F14" s="428"/>
      <c r="G14" s="428"/>
      <c r="H14" s="207">
        <f>SUM(H15:H19)</f>
        <v>5.931</v>
      </c>
      <c r="I14" s="207">
        <f>SUM(I15:I19)</f>
        <v>0</v>
      </c>
      <c r="J14" s="428"/>
      <c r="K14" s="207">
        <f>SUM(K15:K19)</f>
        <v>0</v>
      </c>
      <c r="L14" s="207">
        <f>SUM(L15:L19)</f>
        <v>0</v>
      </c>
      <c r="M14" s="207">
        <f>SUM(M15:M19)</f>
        <v>0</v>
      </c>
      <c r="N14" s="429"/>
      <c r="O14" s="208">
        <f t="shared" si="0"/>
        <v>5.931</v>
      </c>
      <c r="P14" s="189" t="s">
        <v>582</v>
      </c>
    </row>
    <row r="15" spans="1:16" ht="27.75" customHeight="1">
      <c r="A15" s="209" t="s">
        <v>586</v>
      </c>
      <c r="B15" s="275" t="s">
        <v>587</v>
      </c>
      <c r="C15" s="202" t="s">
        <v>585</v>
      </c>
      <c r="D15" s="260" t="s">
        <v>28</v>
      </c>
      <c r="E15" s="272" t="s">
        <v>580</v>
      </c>
      <c r="F15" s="428"/>
      <c r="G15" s="428"/>
      <c r="H15" s="430"/>
      <c r="I15" s="207">
        <f>(F15-G15)*(H15/100)</f>
        <v>0</v>
      </c>
      <c r="J15" s="430"/>
      <c r="K15" s="430"/>
      <c r="L15" s="207">
        <f>(F15-J15)*(K15/100)</f>
        <v>0</v>
      </c>
      <c r="M15" s="276">
        <f>SUM(L15,I15)</f>
        <v>0</v>
      </c>
      <c r="N15" s="431"/>
      <c r="O15" s="210">
        <f t="shared" si="0"/>
        <v>0</v>
      </c>
      <c r="P15" s="189" t="s">
        <v>582</v>
      </c>
    </row>
    <row r="16" spans="1:16" ht="15.75" customHeight="1">
      <c r="A16" s="209" t="s">
        <v>588</v>
      </c>
      <c r="B16" s="275" t="s">
        <v>589</v>
      </c>
      <c r="C16" s="202" t="s">
        <v>585</v>
      </c>
      <c r="D16" s="260" t="s">
        <v>29</v>
      </c>
      <c r="E16" s="268" t="s">
        <v>580</v>
      </c>
      <c r="F16" s="428"/>
      <c r="G16" s="428"/>
      <c r="H16" s="430"/>
      <c r="I16" s="207">
        <f>(F16-G16)*(H16/100)</f>
        <v>0</v>
      </c>
      <c r="J16" s="430"/>
      <c r="K16" s="430"/>
      <c r="L16" s="207">
        <f>(F16-J16)*(K16/100)</f>
        <v>0</v>
      </c>
      <c r="M16" s="276">
        <f>SUM(L16,I16)</f>
        <v>0</v>
      </c>
      <c r="N16" s="431"/>
      <c r="O16" s="210">
        <f t="shared" si="0"/>
        <v>0</v>
      </c>
      <c r="P16" s="189" t="s">
        <v>582</v>
      </c>
    </row>
    <row r="17" spans="1:16" ht="15.75" customHeight="1">
      <c r="A17" s="209" t="s">
        <v>590</v>
      </c>
      <c r="B17" s="275" t="s">
        <v>591</v>
      </c>
      <c r="C17" s="202" t="s">
        <v>585</v>
      </c>
      <c r="D17" s="260" t="s">
        <v>30</v>
      </c>
      <c r="E17" s="272" t="s">
        <v>580</v>
      </c>
      <c r="F17" s="428"/>
      <c r="G17" s="428"/>
      <c r="H17" s="430"/>
      <c r="I17" s="207">
        <f>(F17-G17)*(H17/100)</f>
        <v>0</v>
      </c>
      <c r="J17" s="430"/>
      <c r="K17" s="430"/>
      <c r="L17" s="207">
        <f>(F17-J17)*(K17/100)</f>
        <v>0</v>
      </c>
      <c r="M17" s="276">
        <f>SUM(L17,I17)</f>
        <v>0</v>
      </c>
      <c r="N17" s="431"/>
      <c r="O17" s="210">
        <f t="shared" si="0"/>
        <v>0</v>
      </c>
      <c r="P17" s="189" t="s">
        <v>582</v>
      </c>
    </row>
    <row r="18" spans="1:16" ht="15.75" customHeight="1">
      <c r="A18" s="209" t="s">
        <v>592</v>
      </c>
      <c r="B18" s="275" t="s">
        <v>593</v>
      </c>
      <c r="C18" s="202" t="s">
        <v>585</v>
      </c>
      <c r="D18" s="260" t="s">
        <v>31</v>
      </c>
      <c r="E18" s="268" t="s">
        <v>580</v>
      </c>
      <c r="F18" s="428"/>
      <c r="G18" s="428"/>
      <c r="H18" s="430">
        <v>5.931</v>
      </c>
      <c r="I18" s="207">
        <f>(F18-G18)*(H18/100)</f>
        <v>0</v>
      </c>
      <c r="J18" s="430"/>
      <c r="K18" s="430"/>
      <c r="L18" s="207">
        <f>(F18-J18)*(K18/100)</f>
        <v>0</v>
      </c>
      <c r="M18" s="276">
        <f>SUM(L18,I18)</f>
        <v>0</v>
      </c>
      <c r="N18" s="431"/>
      <c r="O18" s="210">
        <f t="shared" si="0"/>
        <v>5.931</v>
      </c>
      <c r="P18" s="189" t="s">
        <v>582</v>
      </c>
    </row>
    <row r="19" spans="1:16" ht="15.75" customHeight="1">
      <c r="A19" s="209" t="s">
        <v>594</v>
      </c>
      <c r="B19" s="275" t="s">
        <v>595</v>
      </c>
      <c r="C19" s="202" t="s">
        <v>585</v>
      </c>
      <c r="D19" s="260" t="s">
        <v>596</v>
      </c>
      <c r="E19" s="272" t="s">
        <v>580</v>
      </c>
      <c r="F19" s="428"/>
      <c r="G19" s="428"/>
      <c r="H19" s="430"/>
      <c r="I19" s="207">
        <f>(F19-G19)*(H19/100)</f>
        <v>0</v>
      </c>
      <c r="J19" s="430"/>
      <c r="K19" s="430"/>
      <c r="L19" s="207">
        <f>(F19-J19)*(K19/100)</f>
        <v>0</v>
      </c>
      <c r="M19" s="276">
        <f>SUM(L19,I19)</f>
        <v>0</v>
      </c>
      <c r="N19" s="429"/>
      <c r="O19" s="210">
        <f t="shared" si="0"/>
        <v>0</v>
      </c>
      <c r="P19" s="189" t="s">
        <v>582</v>
      </c>
    </row>
    <row r="20" spans="1:16" ht="15.75" customHeight="1">
      <c r="A20" s="211" t="s">
        <v>94</v>
      </c>
      <c r="B20" s="202" t="s">
        <v>597</v>
      </c>
      <c r="C20" s="202" t="s">
        <v>598</v>
      </c>
      <c r="D20" s="260" t="s">
        <v>87</v>
      </c>
      <c r="E20" s="268" t="s">
        <v>580</v>
      </c>
      <c r="F20" s="428"/>
      <c r="G20" s="428"/>
      <c r="H20" s="207">
        <f>SUM(H21:H25)</f>
        <v>29.952</v>
      </c>
      <c r="I20" s="207">
        <f>SUM(I21:I25)</f>
        <v>0</v>
      </c>
      <c r="J20" s="428"/>
      <c r="K20" s="207">
        <f>SUM(K21:K25)</f>
        <v>0</v>
      </c>
      <c r="L20" s="207">
        <f>SUM(L21:L25)</f>
        <v>0</v>
      </c>
      <c r="M20" s="207">
        <f>SUM(M21:M25)</f>
        <v>0</v>
      </c>
      <c r="N20" s="429"/>
      <c r="O20" s="208">
        <f t="shared" si="0"/>
        <v>29.952</v>
      </c>
      <c r="P20" s="189" t="s">
        <v>582</v>
      </c>
    </row>
    <row r="21" spans="1:16" ht="15.75" customHeight="1">
      <c r="A21" s="212" t="s">
        <v>599</v>
      </c>
      <c r="B21" s="275" t="s">
        <v>587</v>
      </c>
      <c r="C21" s="202" t="s">
        <v>598</v>
      </c>
      <c r="D21" s="260" t="s">
        <v>28</v>
      </c>
      <c r="E21" s="272" t="s">
        <v>580</v>
      </c>
      <c r="F21" s="428"/>
      <c r="G21" s="428"/>
      <c r="H21" s="430"/>
      <c r="I21" s="207">
        <f>(F21-G21)*(H21/100)</f>
        <v>0</v>
      </c>
      <c r="J21" s="430"/>
      <c r="K21" s="430"/>
      <c r="L21" s="207">
        <f>(F21-J21)*(K21/100)</f>
        <v>0</v>
      </c>
      <c r="M21" s="276">
        <f>SUM(L21,I21)</f>
        <v>0</v>
      </c>
      <c r="N21" s="431"/>
      <c r="O21" s="210">
        <f t="shared" si="0"/>
        <v>0</v>
      </c>
      <c r="P21" s="189" t="s">
        <v>582</v>
      </c>
    </row>
    <row r="22" spans="1:16" ht="15.75" customHeight="1">
      <c r="A22" s="212" t="s">
        <v>600</v>
      </c>
      <c r="B22" s="275" t="s">
        <v>589</v>
      </c>
      <c r="C22" s="202" t="s">
        <v>598</v>
      </c>
      <c r="D22" s="260" t="s">
        <v>29</v>
      </c>
      <c r="E22" s="268" t="s">
        <v>580</v>
      </c>
      <c r="F22" s="428"/>
      <c r="G22" s="428"/>
      <c r="H22" s="430"/>
      <c r="I22" s="207">
        <f>(F22-G22)*(H22/100)</f>
        <v>0</v>
      </c>
      <c r="J22" s="430"/>
      <c r="K22" s="430"/>
      <c r="L22" s="207">
        <f>(F22-J22)*(K22/100)</f>
        <v>0</v>
      </c>
      <c r="M22" s="276">
        <f>SUM(L22,I22)</f>
        <v>0</v>
      </c>
      <c r="N22" s="431"/>
      <c r="O22" s="210">
        <f t="shared" si="0"/>
        <v>0</v>
      </c>
      <c r="P22" s="189" t="s">
        <v>582</v>
      </c>
    </row>
    <row r="23" spans="1:16" ht="15.75" customHeight="1">
      <c r="A23" s="212" t="s">
        <v>601</v>
      </c>
      <c r="B23" s="275" t="s">
        <v>591</v>
      </c>
      <c r="C23" s="202" t="s">
        <v>598</v>
      </c>
      <c r="D23" s="260" t="s">
        <v>30</v>
      </c>
      <c r="E23" s="272" t="s">
        <v>580</v>
      </c>
      <c r="F23" s="428"/>
      <c r="G23" s="428"/>
      <c r="H23" s="430"/>
      <c r="I23" s="207">
        <f>(F23-G23)*(H23/100)</f>
        <v>0</v>
      </c>
      <c r="J23" s="430"/>
      <c r="K23" s="430"/>
      <c r="L23" s="207">
        <f>(F23-J23)*(K23/100)</f>
        <v>0</v>
      </c>
      <c r="M23" s="276">
        <f>SUM(L23,I23)</f>
        <v>0</v>
      </c>
      <c r="N23" s="431"/>
      <c r="O23" s="210">
        <f t="shared" si="0"/>
        <v>0</v>
      </c>
      <c r="P23" s="189" t="s">
        <v>582</v>
      </c>
    </row>
    <row r="24" spans="1:16" ht="15.75" customHeight="1">
      <c r="A24" s="212" t="s">
        <v>602</v>
      </c>
      <c r="B24" s="275" t="s">
        <v>593</v>
      </c>
      <c r="C24" s="202" t="s">
        <v>598</v>
      </c>
      <c r="D24" s="260" t="s">
        <v>31</v>
      </c>
      <c r="E24" s="268" t="s">
        <v>580</v>
      </c>
      <c r="F24" s="428"/>
      <c r="G24" s="428"/>
      <c r="H24" s="430">
        <v>29.952</v>
      </c>
      <c r="I24" s="207">
        <f>(F24-G24)*(H24/100)</f>
        <v>0</v>
      </c>
      <c r="J24" s="430"/>
      <c r="K24" s="430"/>
      <c r="L24" s="207">
        <f>(F24-J24)*(K24/100)</f>
        <v>0</v>
      </c>
      <c r="M24" s="276">
        <f>SUM(L24,I24)</f>
        <v>0</v>
      </c>
      <c r="N24" s="431"/>
      <c r="O24" s="210">
        <f t="shared" si="0"/>
        <v>29.952</v>
      </c>
      <c r="P24" s="189" t="s">
        <v>582</v>
      </c>
    </row>
    <row r="25" spans="1:16" ht="15.75" customHeight="1">
      <c r="A25" s="212" t="s">
        <v>603</v>
      </c>
      <c r="B25" s="275" t="s">
        <v>595</v>
      </c>
      <c r="C25" s="202" t="s">
        <v>598</v>
      </c>
      <c r="D25" s="260" t="s">
        <v>596</v>
      </c>
      <c r="E25" s="272" t="s">
        <v>580</v>
      </c>
      <c r="F25" s="428"/>
      <c r="G25" s="428"/>
      <c r="H25" s="430"/>
      <c r="I25" s="207">
        <f>(F25-G25)*(H25/100)</f>
        <v>0</v>
      </c>
      <c r="J25" s="430"/>
      <c r="K25" s="430"/>
      <c r="L25" s="207">
        <f>(F25-J25)*(K25/100)</f>
        <v>0</v>
      </c>
      <c r="M25" s="276">
        <f>SUM(L25,I25)</f>
        <v>0</v>
      </c>
      <c r="N25" s="431"/>
      <c r="O25" s="210">
        <f t="shared" si="0"/>
        <v>0</v>
      </c>
      <c r="P25" s="189" t="s">
        <v>582</v>
      </c>
    </row>
    <row r="26" spans="1:16" s="205" customFormat="1" ht="15.75" customHeight="1">
      <c r="A26" s="201" t="s">
        <v>69</v>
      </c>
      <c r="B26" s="271" t="s">
        <v>604</v>
      </c>
      <c r="C26" s="202" t="s">
        <v>604</v>
      </c>
      <c r="D26" s="272" t="s">
        <v>87</v>
      </c>
      <c r="E26" s="268" t="s">
        <v>580</v>
      </c>
      <c r="F26" s="273"/>
      <c r="G26" s="273"/>
      <c r="H26" s="203">
        <f>SUM(H27:H31)</f>
        <v>1.42</v>
      </c>
      <c r="I26" s="203">
        <f>SUM(I27:I31)</f>
        <v>0</v>
      </c>
      <c r="J26" s="273"/>
      <c r="K26" s="203">
        <f>SUM(K27:K31)</f>
        <v>0</v>
      </c>
      <c r="L26" s="203">
        <f>SUM(L27:L31)</f>
        <v>0</v>
      </c>
      <c r="M26" s="203">
        <f>SUM(M27:M31)</f>
        <v>0</v>
      </c>
      <c r="N26" s="274">
        <f>IF(O26=0,0,((N27*O27)+(N28*O28)+(N29*O29)+(N30*O30)+(N31*O31))/O26)</f>
        <v>0</v>
      </c>
      <c r="O26" s="204">
        <f>SUM(H24,K24)</f>
        <v>29.952</v>
      </c>
      <c r="P26" s="205" t="s">
        <v>582</v>
      </c>
    </row>
    <row r="27" spans="1:16" ht="15.75" customHeight="1">
      <c r="A27" s="212" t="s">
        <v>314</v>
      </c>
      <c r="B27" s="275" t="s">
        <v>587</v>
      </c>
      <c r="C27" s="202" t="s">
        <v>604</v>
      </c>
      <c r="D27" s="260" t="s">
        <v>28</v>
      </c>
      <c r="E27" s="272" t="s">
        <v>580</v>
      </c>
      <c r="F27" s="428"/>
      <c r="G27" s="430"/>
      <c r="H27" s="430"/>
      <c r="I27" s="207">
        <f>(F27-G27)*(H27/100)</f>
        <v>0</v>
      </c>
      <c r="J27" s="430"/>
      <c r="K27" s="430"/>
      <c r="L27" s="207">
        <f>(F27-J27)*(K27/100)</f>
        <v>0</v>
      </c>
      <c r="M27" s="276">
        <f>SUM(L27,I27)</f>
        <v>0</v>
      </c>
      <c r="N27" s="431"/>
      <c r="O27" s="210">
        <f>SUM(H27,K27)</f>
        <v>0</v>
      </c>
      <c r="P27" s="189" t="s">
        <v>582</v>
      </c>
    </row>
    <row r="28" spans="1:16" ht="15.75" customHeight="1">
      <c r="A28" s="212" t="s">
        <v>316</v>
      </c>
      <c r="B28" s="275" t="s">
        <v>589</v>
      </c>
      <c r="C28" s="202" t="s">
        <v>604</v>
      </c>
      <c r="D28" s="260" t="s">
        <v>29</v>
      </c>
      <c r="E28" s="268" t="s">
        <v>580</v>
      </c>
      <c r="F28" s="428"/>
      <c r="G28" s="430"/>
      <c r="H28" s="430"/>
      <c r="I28" s="207">
        <f>(F28-G28)*(H28/100)</f>
        <v>0</v>
      </c>
      <c r="J28" s="430"/>
      <c r="K28" s="430"/>
      <c r="L28" s="207">
        <f>(F28-J28)*(K28/100)</f>
        <v>0</v>
      </c>
      <c r="M28" s="276">
        <f>SUM(L28,I28)</f>
        <v>0</v>
      </c>
      <c r="N28" s="431"/>
      <c r="O28" s="210">
        <f>SUM(H28,K28)</f>
        <v>0</v>
      </c>
      <c r="P28" s="189" t="s">
        <v>582</v>
      </c>
    </row>
    <row r="29" spans="1:16" ht="15.75" customHeight="1">
      <c r="A29" s="212" t="s">
        <v>318</v>
      </c>
      <c r="B29" s="275" t="s">
        <v>591</v>
      </c>
      <c r="C29" s="202" t="s">
        <v>604</v>
      </c>
      <c r="D29" s="260" t="s">
        <v>30</v>
      </c>
      <c r="E29" s="272" t="s">
        <v>580</v>
      </c>
      <c r="F29" s="428"/>
      <c r="G29" s="430"/>
      <c r="H29" s="430"/>
      <c r="I29" s="207">
        <f>(F29-G29)*(H29/100)</f>
        <v>0</v>
      </c>
      <c r="J29" s="430"/>
      <c r="K29" s="430"/>
      <c r="L29" s="207">
        <f>(F29-J29)*(K29/100)</f>
        <v>0</v>
      </c>
      <c r="M29" s="276">
        <f>SUM(L29,I29)</f>
        <v>0</v>
      </c>
      <c r="N29" s="431"/>
      <c r="O29" s="210">
        <f>SUM(H29,K29)</f>
        <v>0</v>
      </c>
      <c r="P29" s="189" t="s">
        <v>582</v>
      </c>
    </row>
    <row r="30" spans="1:16" ht="15.75" customHeight="1">
      <c r="A30" s="212" t="s">
        <v>320</v>
      </c>
      <c r="B30" s="275" t="s">
        <v>593</v>
      </c>
      <c r="C30" s="202" t="s">
        <v>604</v>
      </c>
      <c r="D30" s="260" t="s">
        <v>31</v>
      </c>
      <c r="E30" s="268" t="s">
        <v>580</v>
      </c>
      <c r="F30" s="428"/>
      <c r="G30" s="430"/>
      <c r="H30" s="430">
        <v>1.42</v>
      </c>
      <c r="I30" s="207">
        <f>(F30-G30)*(H30/100)</f>
        <v>0</v>
      </c>
      <c r="J30" s="430"/>
      <c r="K30" s="430"/>
      <c r="L30" s="207">
        <f>(F30-J30)*(K30/100)</f>
        <v>0</v>
      </c>
      <c r="M30" s="276">
        <f>SUM(L30,I30)</f>
        <v>0</v>
      </c>
      <c r="N30" s="431"/>
      <c r="O30" s="210">
        <f>SUM(H30,K30)</f>
        <v>1.42</v>
      </c>
      <c r="P30" s="189" t="s">
        <v>582</v>
      </c>
    </row>
    <row r="31" spans="1:16" ht="15.75" customHeight="1">
      <c r="A31" s="212" t="s">
        <v>322</v>
      </c>
      <c r="B31" s="275" t="s">
        <v>595</v>
      </c>
      <c r="C31" s="202" t="s">
        <v>604</v>
      </c>
      <c r="D31" s="260" t="s">
        <v>596</v>
      </c>
      <c r="E31" s="272" t="s">
        <v>580</v>
      </c>
      <c r="F31" s="428"/>
      <c r="G31" s="430"/>
      <c r="H31" s="430"/>
      <c r="I31" s="207">
        <f>(F31-G31)*(H31/100)</f>
        <v>0</v>
      </c>
      <c r="J31" s="430"/>
      <c r="K31" s="430"/>
      <c r="L31" s="207">
        <f>(F31-J31)*(K31/100)</f>
        <v>0</v>
      </c>
      <c r="M31" s="276">
        <f>SUM(L31,I31)</f>
        <v>0</v>
      </c>
      <c r="N31" s="431"/>
      <c r="O31" s="210">
        <f>SUM(H31,K31)</f>
        <v>0</v>
      </c>
      <c r="P31" s="189" t="s">
        <v>582</v>
      </c>
    </row>
    <row r="32" spans="1:16" s="205" customFormat="1" ht="23.25" customHeight="1">
      <c r="A32" s="201" t="s">
        <v>75</v>
      </c>
      <c r="B32" s="271" t="s">
        <v>605</v>
      </c>
      <c r="C32" s="202" t="s">
        <v>605</v>
      </c>
      <c r="D32" s="272" t="s">
        <v>87</v>
      </c>
      <c r="E32" s="268" t="s">
        <v>580</v>
      </c>
      <c r="F32" s="273"/>
      <c r="G32" s="273"/>
      <c r="H32" s="203">
        <f>SUM(H33:H37)</f>
        <v>1.31</v>
      </c>
      <c r="I32" s="203">
        <f>SUM(I33:I37)</f>
        <v>0</v>
      </c>
      <c r="J32" s="273"/>
      <c r="K32" s="203">
        <f>SUM(K33:K37)</f>
        <v>0</v>
      </c>
      <c r="L32" s="203">
        <f>SUM(L33:L37)</f>
        <v>0</v>
      </c>
      <c r="M32" s="203">
        <f>SUM(M33:M37)</f>
        <v>0</v>
      </c>
      <c r="N32" s="274">
        <f>IF(O32=0,0,((N33*O33)+(N34*O34)+(N35*O35)+(N36*O36)+(N37*O37))/O32)</f>
        <v>0</v>
      </c>
      <c r="O32" s="204">
        <f>SUM(H30,K30)</f>
        <v>1.42</v>
      </c>
      <c r="P32" s="205" t="s">
        <v>582</v>
      </c>
    </row>
    <row r="33" spans="1:16" ht="15.75" customHeight="1">
      <c r="A33" s="212" t="s">
        <v>518</v>
      </c>
      <c r="B33" s="275" t="s">
        <v>587</v>
      </c>
      <c r="C33" s="202" t="s">
        <v>605</v>
      </c>
      <c r="D33" s="260" t="s">
        <v>28</v>
      </c>
      <c r="E33" s="272" t="s">
        <v>580</v>
      </c>
      <c r="F33" s="428"/>
      <c r="G33" s="430"/>
      <c r="H33" s="430"/>
      <c r="I33" s="207">
        <f>(F33-G33)*(H33/100)</f>
        <v>0</v>
      </c>
      <c r="J33" s="430"/>
      <c r="K33" s="430"/>
      <c r="L33" s="207">
        <f>(F33-J33)*(K33/100)</f>
        <v>0</v>
      </c>
      <c r="M33" s="276">
        <f>SUM(L33,I33)</f>
        <v>0</v>
      </c>
      <c r="N33" s="431"/>
      <c r="O33" s="210">
        <f aca="true" t="shared" si="1" ref="O33:O49">SUM(H33,K33)</f>
        <v>0</v>
      </c>
      <c r="P33" s="189" t="s">
        <v>582</v>
      </c>
    </row>
    <row r="34" spans="1:16" ht="15.75" customHeight="1">
      <c r="A34" s="212" t="s">
        <v>519</v>
      </c>
      <c r="B34" s="275" t="s">
        <v>589</v>
      </c>
      <c r="C34" s="202" t="s">
        <v>605</v>
      </c>
      <c r="D34" s="260" t="s">
        <v>29</v>
      </c>
      <c r="E34" s="268" t="s">
        <v>580</v>
      </c>
      <c r="F34" s="428"/>
      <c r="G34" s="430"/>
      <c r="H34" s="430"/>
      <c r="I34" s="207">
        <f>(F34-G34)*(H34/100)</f>
        <v>0</v>
      </c>
      <c r="J34" s="430"/>
      <c r="K34" s="430"/>
      <c r="L34" s="207">
        <f>(F34-J34)*(K34/100)</f>
        <v>0</v>
      </c>
      <c r="M34" s="276">
        <f>SUM(L34,I34)</f>
        <v>0</v>
      </c>
      <c r="N34" s="431"/>
      <c r="O34" s="210">
        <f t="shared" si="1"/>
        <v>0</v>
      </c>
      <c r="P34" s="189" t="s">
        <v>582</v>
      </c>
    </row>
    <row r="35" spans="1:16" ht="15.75" customHeight="1">
      <c r="A35" s="212" t="s">
        <v>520</v>
      </c>
      <c r="B35" s="275" t="s">
        <v>591</v>
      </c>
      <c r="C35" s="202" t="s">
        <v>605</v>
      </c>
      <c r="D35" s="260" t="s">
        <v>30</v>
      </c>
      <c r="E35" s="272" t="s">
        <v>580</v>
      </c>
      <c r="F35" s="428"/>
      <c r="G35" s="430"/>
      <c r="H35" s="430"/>
      <c r="I35" s="207">
        <f>(F35-G35)*(H35/100)</f>
        <v>0</v>
      </c>
      <c r="J35" s="430"/>
      <c r="K35" s="430"/>
      <c r="L35" s="207">
        <f>(F35-J35)*(K35/100)</f>
        <v>0</v>
      </c>
      <c r="M35" s="276">
        <f>SUM(L35,I35)</f>
        <v>0</v>
      </c>
      <c r="N35" s="431"/>
      <c r="O35" s="210">
        <f t="shared" si="1"/>
        <v>0</v>
      </c>
      <c r="P35" s="189" t="s">
        <v>582</v>
      </c>
    </row>
    <row r="36" spans="1:16" ht="15.75" customHeight="1">
      <c r="A36" s="212" t="s">
        <v>606</v>
      </c>
      <c r="B36" s="275" t="s">
        <v>593</v>
      </c>
      <c r="C36" s="202" t="s">
        <v>605</v>
      </c>
      <c r="D36" s="260" t="s">
        <v>31</v>
      </c>
      <c r="E36" s="268" t="s">
        <v>580</v>
      </c>
      <c r="F36" s="428"/>
      <c r="G36" s="430"/>
      <c r="H36" s="430">
        <v>1.31</v>
      </c>
      <c r="I36" s="207">
        <f>(F36-G36)*(H36/100)</f>
        <v>0</v>
      </c>
      <c r="J36" s="430"/>
      <c r="K36" s="430"/>
      <c r="L36" s="207">
        <f>(F36-J36)*(K36/100)</f>
        <v>0</v>
      </c>
      <c r="M36" s="276">
        <f>SUM(L36,I36)</f>
        <v>0</v>
      </c>
      <c r="N36" s="431"/>
      <c r="O36" s="210">
        <f t="shared" si="1"/>
        <v>1.31</v>
      </c>
      <c r="P36" s="189" t="s">
        <v>582</v>
      </c>
    </row>
    <row r="37" spans="1:16" ht="15.75" customHeight="1">
      <c r="A37" s="212" t="s">
        <v>607</v>
      </c>
      <c r="B37" s="275" t="s">
        <v>595</v>
      </c>
      <c r="C37" s="202" t="s">
        <v>605</v>
      </c>
      <c r="D37" s="260" t="s">
        <v>596</v>
      </c>
      <c r="E37" s="272" t="s">
        <v>580</v>
      </c>
      <c r="F37" s="428"/>
      <c r="G37" s="430"/>
      <c r="H37" s="430"/>
      <c r="I37" s="207">
        <f>(F37-G37)*(H37/100)</f>
        <v>0</v>
      </c>
      <c r="J37" s="430"/>
      <c r="K37" s="430"/>
      <c r="L37" s="207">
        <f>(F37-J37)*(K37/100)</f>
        <v>0</v>
      </c>
      <c r="M37" s="276">
        <f>SUM(L37,I37)</f>
        <v>0</v>
      </c>
      <c r="N37" s="431"/>
      <c r="O37" s="210">
        <f t="shared" si="1"/>
        <v>0</v>
      </c>
      <c r="P37" s="189" t="s">
        <v>582</v>
      </c>
    </row>
    <row r="38" spans="1:16" s="213" customFormat="1" ht="24" customHeight="1">
      <c r="A38" s="284" t="s">
        <v>78</v>
      </c>
      <c r="B38" s="277" t="s">
        <v>608</v>
      </c>
      <c r="C38" s="278" t="s">
        <v>608</v>
      </c>
      <c r="D38" s="279" t="s">
        <v>87</v>
      </c>
      <c r="E38" s="268" t="s">
        <v>580</v>
      </c>
      <c r="F38" s="273"/>
      <c r="G38" s="273"/>
      <c r="H38" s="203">
        <f>SUM(H39:H43)</f>
        <v>0</v>
      </c>
      <c r="I38" s="203">
        <f>SUM(I39:I43)</f>
        <v>0</v>
      </c>
      <c r="J38" s="273"/>
      <c r="K38" s="203">
        <f>SUM(K39:K43)</f>
        <v>0</v>
      </c>
      <c r="L38" s="203">
        <f>SUM(L39:L43)</f>
        <v>0</v>
      </c>
      <c r="M38" s="203">
        <f>SUM(M39:M43)</f>
        <v>0</v>
      </c>
      <c r="N38" s="279"/>
      <c r="O38" s="210">
        <f t="shared" si="1"/>
        <v>0</v>
      </c>
      <c r="P38" s="213" t="s">
        <v>582</v>
      </c>
    </row>
    <row r="39" spans="1:16" s="213" customFormat="1" ht="15.75" customHeight="1">
      <c r="A39" s="286" t="s">
        <v>105</v>
      </c>
      <c r="B39" s="280" t="s">
        <v>587</v>
      </c>
      <c r="C39" s="278" t="s">
        <v>608</v>
      </c>
      <c r="D39" s="279" t="s">
        <v>28</v>
      </c>
      <c r="E39" s="272" t="s">
        <v>580</v>
      </c>
      <c r="F39" s="428"/>
      <c r="G39" s="430"/>
      <c r="H39" s="430"/>
      <c r="I39" s="207">
        <f>(F39-G39)*(H39/100)</f>
        <v>0</v>
      </c>
      <c r="J39" s="430"/>
      <c r="K39" s="430"/>
      <c r="L39" s="207">
        <f>(F39-J39)*(K39/100)</f>
        <v>0</v>
      </c>
      <c r="M39" s="276">
        <f>SUM(L39,I39)</f>
        <v>0</v>
      </c>
      <c r="N39" s="431"/>
      <c r="O39" s="210">
        <f t="shared" si="1"/>
        <v>0</v>
      </c>
      <c r="P39" s="213" t="s">
        <v>582</v>
      </c>
    </row>
    <row r="40" spans="1:16" s="213" customFormat="1" ht="15.75" customHeight="1">
      <c r="A40" s="286" t="s">
        <v>113</v>
      </c>
      <c r="B40" s="280" t="s">
        <v>589</v>
      </c>
      <c r="C40" s="278" t="s">
        <v>608</v>
      </c>
      <c r="D40" s="279" t="s">
        <v>29</v>
      </c>
      <c r="E40" s="268" t="s">
        <v>580</v>
      </c>
      <c r="F40" s="428"/>
      <c r="G40" s="430"/>
      <c r="H40" s="430"/>
      <c r="I40" s="207">
        <f>(F40-G40)*(H40/100)</f>
        <v>0</v>
      </c>
      <c r="J40" s="430"/>
      <c r="K40" s="430"/>
      <c r="L40" s="207">
        <f>(F40-J40)*(K40/100)</f>
        <v>0</v>
      </c>
      <c r="M40" s="276">
        <f>SUM(L40,I40)</f>
        <v>0</v>
      </c>
      <c r="N40" s="431"/>
      <c r="O40" s="210">
        <f t="shared" si="1"/>
        <v>0</v>
      </c>
      <c r="P40" s="213" t="s">
        <v>582</v>
      </c>
    </row>
    <row r="41" spans="1:16" s="213" customFormat="1" ht="15.75" customHeight="1">
      <c r="A41" s="286" t="s">
        <v>116</v>
      </c>
      <c r="B41" s="280" t="s">
        <v>591</v>
      </c>
      <c r="C41" s="278" t="s">
        <v>608</v>
      </c>
      <c r="D41" s="279" t="s">
        <v>30</v>
      </c>
      <c r="E41" s="272" t="s">
        <v>580</v>
      </c>
      <c r="F41" s="428"/>
      <c r="G41" s="430"/>
      <c r="H41" s="430"/>
      <c r="I41" s="207">
        <f>(F41-G41)*(H41/100)</f>
        <v>0</v>
      </c>
      <c r="J41" s="430"/>
      <c r="K41" s="430"/>
      <c r="L41" s="207">
        <f>(F41-J41)*(K41/100)</f>
        <v>0</v>
      </c>
      <c r="M41" s="276">
        <f>SUM(L41,I41)</f>
        <v>0</v>
      </c>
      <c r="N41" s="431"/>
      <c r="O41" s="210">
        <f t="shared" si="1"/>
        <v>0</v>
      </c>
      <c r="P41" s="213" t="s">
        <v>582</v>
      </c>
    </row>
    <row r="42" spans="1:16" s="213" customFormat="1" ht="15.75" customHeight="1">
      <c r="A42" s="286" t="s">
        <v>119</v>
      </c>
      <c r="B42" s="280" t="s">
        <v>593</v>
      </c>
      <c r="C42" s="278" t="s">
        <v>608</v>
      </c>
      <c r="D42" s="279" t="s">
        <v>31</v>
      </c>
      <c r="E42" s="268" t="s">
        <v>580</v>
      </c>
      <c r="F42" s="428"/>
      <c r="G42" s="430"/>
      <c r="H42" s="430"/>
      <c r="I42" s="207">
        <f>(F42-G42)*(H42/100)</f>
        <v>0</v>
      </c>
      <c r="J42" s="430"/>
      <c r="K42" s="430"/>
      <c r="L42" s="207">
        <f>(F42-J42)*(K42/100)</f>
        <v>0</v>
      </c>
      <c r="M42" s="276">
        <f>SUM(L42,I42)</f>
        <v>0</v>
      </c>
      <c r="N42" s="431"/>
      <c r="O42" s="210">
        <f t="shared" si="1"/>
        <v>0</v>
      </c>
      <c r="P42" s="213" t="s">
        <v>582</v>
      </c>
    </row>
    <row r="43" spans="1:16" s="213" customFormat="1" ht="15.75" customHeight="1">
      <c r="A43" s="286" t="s">
        <v>173</v>
      </c>
      <c r="B43" s="280" t="s">
        <v>595</v>
      </c>
      <c r="C43" s="278" t="s">
        <v>608</v>
      </c>
      <c r="D43" s="279" t="s">
        <v>596</v>
      </c>
      <c r="E43" s="272" t="s">
        <v>580</v>
      </c>
      <c r="F43" s="428"/>
      <c r="G43" s="430"/>
      <c r="H43" s="430"/>
      <c r="I43" s="207">
        <f>(F43-G43)*(H43/100)</f>
        <v>0</v>
      </c>
      <c r="J43" s="430"/>
      <c r="K43" s="430"/>
      <c r="L43" s="207">
        <f>(F43-J43)*(K43/100)</f>
        <v>0</v>
      </c>
      <c r="M43" s="276">
        <f>SUM(L43,I43)</f>
        <v>0</v>
      </c>
      <c r="N43" s="431"/>
      <c r="O43" s="210">
        <f t="shared" si="1"/>
        <v>0</v>
      </c>
      <c r="P43" s="213" t="s">
        <v>582</v>
      </c>
    </row>
    <row r="44" spans="1:16" s="213" customFormat="1" ht="38.25" customHeight="1">
      <c r="A44" s="284" t="s">
        <v>122</v>
      </c>
      <c r="B44" s="277" t="s">
        <v>609</v>
      </c>
      <c r="C44" s="278" t="s">
        <v>609</v>
      </c>
      <c r="D44" s="279" t="s">
        <v>87</v>
      </c>
      <c r="E44" s="268" t="s">
        <v>580</v>
      </c>
      <c r="F44" s="273"/>
      <c r="G44" s="273"/>
      <c r="H44" s="203">
        <f>SUM(H45:H49)</f>
        <v>0</v>
      </c>
      <c r="I44" s="203">
        <f>SUM(I45:I49)</f>
        <v>0</v>
      </c>
      <c r="J44" s="273"/>
      <c r="K44" s="203">
        <f>SUM(K45:K49)</f>
        <v>0</v>
      </c>
      <c r="L44" s="203">
        <f>SUM(L45:L49)</f>
        <v>0</v>
      </c>
      <c r="M44" s="203">
        <f>SUM(M45:M49)</f>
        <v>0</v>
      </c>
      <c r="N44" s="279"/>
      <c r="O44" s="210">
        <f t="shared" si="1"/>
        <v>0</v>
      </c>
      <c r="P44" s="213" t="s">
        <v>582</v>
      </c>
    </row>
    <row r="45" spans="1:16" s="213" customFormat="1" ht="15.75" customHeight="1">
      <c r="A45" s="286" t="s">
        <v>218</v>
      </c>
      <c r="B45" s="280" t="s">
        <v>587</v>
      </c>
      <c r="C45" s="278" t="s">
        <v>609</v>
      </c>
      <c r="D45" s="279" t="s">
        <v>28</v>
      </c>
      <c r="E45" s="272" t="s">
        <v>580</v>
      </c>
      <c r="F45" s="428"/>
      <c r="G45" s="430"/>
      <c r="H45" s="430"/>
      <c r="I45" s="207">
        <f>(F45-G45)*(H45/100)</f>
        <v>0</v>
      </c>
      <c r="J45" s="430"/>
      <c r="K45" s="430"/>
      <c r="L45" s="207">
        <f>(F45-J45)*(K45/100)</f>
        <v>0</v>
      </c>
      <c r="M45" s="276">
        <f>SUM(L45,I45)</f>
        <v>0</v>
      </c>
      <c r="N45" s="431"/>
      <c r="O45" s="210">
        <f t="shared" si="1"/>
        <v>0</v>
      </c>
      <c r="P45" s="213" t="s">
        <v>582</v>
      </c>
    </row>
    <row r="46" spans="1:16" s="213" customFormat="1" ht="15.75" customHeight="1">
      <c r="A46" s="286" t="s">
        <v>220</v>
      </c>
      <c r="B46" s="280" t="s">
        <v>589</v>
      </c>
      <c r="C46" s="278" t="s">
        <v>609</v>
      </c>
      <c r="D46" s="279" t="s">
        <v>29</v>
      </c>
      <c r="E46" s="268" t="s">
        <v>580</v>
      </c>
      <c r="F46" s="428"/>
      <c r="G46" s="430"/>
      <c r="H46" s="430"/>
      <c r="I46" s="207">
        <f>(F46-G46)*(H46/100)</f>
        <v>0</v>
      </c>
      <c r="J46" s="430"/>
      <c r="K46" s="430"/>
      <c r="L46" s="207">
        <f>(F46-J46)*(K46/100)</f>
        <v>0</v>
      </c>
      <c r="M46" s="276">
        <f>SUM(L46,I46)</f>
        <v>0</v>
      </c>
      <c r="N46" s="431"/>
      <c r="O46" s="210">
        <f t="shared" si="1"/>
        <v>0</v>
      </c>
      <c r="P46" s="213" t="s">
        <v>582</v>
      </c>
    </row>
    <row r="47" spans="1:16" s="213" customFormat="1" ht="15.75" customHeight="1">
      <c r="A47" s="286" t="s">
        <v>222</v>
      </c>
      <c r="B47" s="280" t="s">
        <v>591</v>
      </c>
      <c r="C47" s="278" t="s">
        <v>609</v>
      </c>
      <c r="D47" s="279" t="s">
        <v>30</v>
      </c>
      <c r="E47" s="272" t="s">
        <v>580</v>
      </c>
      <c r="F47" s="428"/>
      <c r="G47" s="430"/>
      <c r="H47" s="430"/>
      <c r="I47" s="207">
        <f>(F47-G47)*(H47/100)</f>
        <v>0</v>
      </c>
      <c r="J47" s="430"/>
      <c r="K47" s="430"/>
      <c r="L47" s="207">
        <f>(F47-J47)*(K47/100)</f>
        <v>0</v>
      </c>
      <c r="M47" s="276">
        <f>SUM(L47,I47)</f>
        <v>0</v>
      </c>
      <c r="N47" s="431"/>
      <c r="O47" s="210">
        <f t="shared" si="1"/>
        <v>0</v>
      </c>
      <c r="P47" s="213" t="s">
        <v>582</v>
      </c>
    </row>
    <row r="48" spans="1:16" s="213" customFormat="1" ht="15.75" customHeight="1">
      <c r="A48" s="286" t="s">
        <v>224</v>
      </c>
      <c r="B48" s="280" t="s">
        <v>593</v>
      </c>
      <c r="C48" s="278" t="s">
        <v>609</v>
      </c>
      <c r="D48" s="279" t="s">
        <v>31</v>
      </c>
      <c r="E48" s="268" t="s">
        <v>580</v>
      </c>
      <c r="F48" s="428"/>
      <c r="G48" s="430"/>
      <c r="H48" s="430"/>
      <c r="I48" s="207">
        <f>(F48-G48)*(H48/100)</f>
        <v>0</v>
      </c>
      <c r="J48" s="430"/>
      <c r="K48" s="430"/>
      <c r="L48" s="207">
        <f>(F48-J48)*(K48/100)</f>
        <v>0</v>
      </c>
      <c r="M48" s="276">
        <f>SUM(L48,I48)</f>
        <v>0</v>
      </c>
      <c r="N48" s="431"/>
      <c r="O48" s="210">
        <f t="shared" si="1"/>
        <v>0</v>
      </c>
      <c r="P48" s="213" t="s">
        <v>582</v>
      </c>
    </row>
    <row r="49" spans="1:16" s="213" customFormat="1" ht="15.75" customHeight="1">
      <c r="A49" s="286" t="s">
        <v>226</v>
      </c>
      <c r="B49" s="280" t="s">
        <v>595</v>
      </c>
      <c r="C49" s="278" t="s">
        <v>609</v>
      </c>
      <c r="D49" s="279" t="s">
        <v>596</v>
      </c>
      <c r="E49" s="272" t="s">
        <v>580</v>
      </c>
      <c r="F49" s="428"/>
      <c r="G49" s="430"/>
      <c r="H49" s="430"/>
      <c r="I49" s="207">
        <f>(F49-G49)*(H49/100)</f>
        <v>0</v>
      </c>
      <c r="J49" s="430"/>
      <c r="K49" s="430"/>
      <c r="L49" s="207">
        <f>(F49-J49)*(K49/100)</f>
        <v>0</v>
      </c>
      <c r="M49" s="276">
        <f>SUM(L49,I49)</f>
        <v>0</v>
      </c>
      <c r="N49" s="431"/>
      <c r="O49" s="210">
        <f t="shared" si="1"/>
        <v>0</v>
      </c>
      <c r="P49" s="213" t="s">
        <v>582</v>
      </c>
    </row>
    <row r="50" spans="1:15" ht="18" customHeight="1">
      <c r="A50" s="284"/>
      <c r="B50" s="262" t="s">
        <v>1305</v>
      </c>
      <c r="C50" s="262"/>
      <c r="D50" s="260"/>
      <c r="E50" s="260"/>
      <c r="F50" s="263"/>
      <c r="G50" s="263"/>
      <c r="H50" s="264"/>
      <c r="I50" s="264"/>
      <c r="J50" s="265"/>
      <c r="K50" s="265"/>
      <c r="L50" s="266"/>
      <c r="M50" s="266"/>
      <c r="N50" s="267"/>
      <c r="O50" s="285"/>
    </row>
    <row r="51" spans="1:16" s="200" customFormat="1" ht="33" customHeight="1">
      <c r="A51" s="196"/>
      <c r="B51" s="197" t="s">
        <v>581</v>
      </c>
      <c r="C51" s="197" t="s">
        <v>87</v>
      </c>
      <c r="D51" s="268" t="s">
        <v>87</v>
      </c>
      <c r="E51" s="268" t="s">
        <v>580</v>
      </c>
      <c r="F51" s="198">
        <f>IF(H51=0,0,(F52*H52+F65*H65++F71*H71)/H51)</f>
        <v>0</v>
      </c>
      <c r="G51" s="198">
        <f>IF(H51=0,0,(G52*H52+G65*H65+G71*H71)/H51)</f>
        <v>0</v>
      </c>
      <c r="H51" s="198">
        <f>SUM(H52,H65,H71,H77,H83)</f>
        <v>36.7</v>
      </c>
      <c r="I51" s="198">
        <f>SUM(I52,I65,I71,I77,I83)</f>
        <v>0</v>
      </c>
      <c r="J51" s="269"/>
      <c r="K51" s="198">
        <f>SUM(K52,K65,K71,K77,K83)</f>
        <v>0</v>
      </c>
      <c r="L51" s="198">
        <f>SUM(L52,L65,L71,L77,L83)</f>
        <v>0</v>
      </c>
      <c r="M51" s="198">
        <f>SUM(M52,M65,M71,M77,M83)</f>
        <v>0</v>
      </c>
      <c r="N51" s="270">
        <f>IF(O51=0,0,((N52*O52)+(N65*O65)+(N71*O71))/O51)</f>
        <v>0</v>
      </c>
      <c r="O51" s="199">
        <f aca="true" t="shared" si="2" ref="O51:O64">SUM(H51,K51)</f>
        <v>36.7</v>
      </c>
      <c r="P51" s="200" t="s">
        <v>582</v>
      </c>
    </row>
    <row r="52" spans="1:16" s="205" customFormat="1" ht="15.75" customHeight="1">
      <c r="A52" s="201" t="s">
        <v>36</v>
      </c>
      <c r="B52" s="271" t="s">
        <v>583</v>
      </c>
      <c r="C52" s="202" t="s">
        <v>583</v>
      </c>
      <c r="D52" s="272" t="s">
        <v>87</v>
      </c>
      <c r="E52" s="272" t="s">
        <v>580</v>
      </c>
      <c r="F52" s="273">
        <f>IF(H52=0,0,(F57*H57+F63*H63)/H52)</f>
        <v>0</v>
      </c>
      <c r="G52" s="273">
        <f>IF(H52=0,0,(G57*H57+G63*H63)/H52)</f>
        <v>0</v>
      </c>
      <c r="H52" s="203">
        <f>SUM(H53,H59)</f>
        <v>34.17</v>
      </c>
      <c r="I52" s="203">
        <f>SUM(I53,I59)</f>
        <v>0</v>
      </c>
      <c r="J52" s="273"/>
      <c r="K52" s="203">
        <f>SUM(K53,K59)</f>
        <v>0</v>
      </c>
      <c r="L52" s="203">
        <f>SUM(L53,L59)</f>
        <v>0</v>
      </c>
      <c r="M52" s="203">
        <f>SUM(L52,I52)</f>
        <v>0</v>
      </c>
      <c r="N52" s="274">
        <f>IF(O52=0,0,((N53*O53)+(N59*O59))/O52)</f>
        <v>0</v>
      </c>
      <c r="O52" s="204">
        <f t="shared" si="2"/>
        <v>34.17</v>
      </c>
      <c r="P52" s="205" t="s">
        <v>582</v>
      </c>
    </row>
    <row r="53" spans="1:16" ht="21" customHeight="1">
      <c r="A53" s="206" t="s">
        <v>90</v>
      </c>
      <c r="B53" s="202" t="s">
        <v>584</v>
      </c>
      <c r="C53" s="202" t="s">
        <v>585</v>
      </c>
      <c r="D53" s="260" t="s">
        <v>87</v>
      </c>
      <c r="E53" s="268" t="s">
        <v>580</v>
      </c>
      <c r="F53" s="428"/>
      <c r="G53" s="428"/>
      <c r="H53" s="207">
        <f>SUM(H54:H58)</f>
        <v>5.22</v>
      </c>
      <c r="I53" s="207">
        <f>SUM(I54:I58)</f>
        <v>0</v>
      </c>
      <c r="J53" s="428"/>
      <c r="K53" s="207">
        <f>SUM(K54:K58)</f>
        <v>0</v>
      </c>
      <c r="L53" s="207">
        <f>SUM(L54:L58)</f>
        <v>0</v>
      </c>
      <c r="M53" s="207">
        <f>SUM(M54:M58)</f>
        <v>0</v>
      </c>
      <c r="N53" s="429"/>
      <c r="O53" s="208">
        <f t="shared" si="2"/>
        <v>5.22</v>
      </c>
      <c r="P53" s="189" t="s">
        <v>582</v>
      </c>
    </row>
    <row r="54" spans="1:16" ht="27.75" customHeight="1">
      <c r="A54" s="209" t="s">
        <v>586</v>
      </c>
      <c r="B54" s="275" t="s">
        <v>587</v>
      </c>
      <c r="C54" s="202" t="s">
        <v>585</v>
      </c>
      <c r="D54" s="260" t="s">
        <v>28</v>
      </c>
      <c r="E54" s="272" t="s">
        <v>580</v>
      </c>
      <c r="F54" s="428"/>
      <c r="G54" s="428"/>
      <c r="H54" s="430"/>
      <c r="I54" s="207">
        <f>(F54-G54)*(H54/100)</f>
        <v>0</v>
      </c>
      <c r="J54" s="430"/>
      <c r="K54" s="430"/>
      <c r="L54" s="207">
        <f>(F54-J54)*(K54/100)</f>
        <v>0</v>
      </c>
      <c r="M54" s="276">
        <f>SUM(L54,I54)</f>
        <v>0</v>
      </c>
      <c r="N54" s="431"/>
      <c r="O54" s="210">
        <f t="shared" si="2"/>
        <v>0</v>
      </c>
      <c r="P54" s="189" t="s">
        <v>582</v>
      </c>
    </row>
    <row r="55" spans="1:16" ht="15.75" customHeight="1">
      <c r="A55" s="209" t="s">
        <v>588</v>
      </c>
      <c r="B55" s="275" t="s">
        <v>589</v>
      </c>
      <c r="C55" s="202" t="s">
        <v>585</v>
      </c>
      <c r="D55" s="260" t="s">
        <v>29</v>
      </c>
      <c r="E55" s="268" t="s">
        <v>580</v>
      </c>
      <c r="F55" s="428"/>
      <c r="G55" s="428"/>
      <c r="H55" s="430"/>
      <c r="I55" s="207">
        <f>(F55-G55)*(H55/100)</f>
        <v>0</v>
      </c>
      <c r="J55" s="430"/>
      <c r="K55" s="430"/>
      <c r="L55" s="207">
        <f>(F55-J55)*(K55/100)</f>
        <v>0</v>
      </c>
      <c r="M55" s="276">
        <f>SUM(L55,I55)</f>
        <v>0</v>
      </c>
      <c r="N55" s="431"/>
      <c r="O55" s="210">
        <f t="shared" si="2"/>
        <v>0</v>
      </c>
      <c r="P55" s="189" t="s">
        <v>582</v>
      </c>
    </row>
    <row r="56" spans="1:16" ht="15.75" customHeight="1">
      <c r="A56" s="209" t="s">
        <v>590</v>
      </c>
      <c r="B56" s="275" t="s">
        <v>591</v>
      </c>
      <c r="C56" s="202" t="s">
        <v>585</v>
      </c>
      <c r="D56" s="260" t="s">
        <v>30</v>
      </c>
      <c r="E56" s="272" t="s">
        <v>580</v>
      </c>
      <c r="F56" s="428"/>
      <c r="G56" s="428"/>
      <c r="H56" s="430"/>
      <c r="I56" s="207">
        <f>(F56-G56)*(H56/100)</f>
        <v>0</v>
      </c>
      <c r="J56" s="430"/>
      <c r="K56" s="430"/>
      <c r="L56" s="207">
        <f>(F56-J56)*(K56/100)</f>
        <v>0</v>
      </c>
      <c r="M56" s="276">
        <f>SUM(L56,I56)</f>
        <v>0</v>
      </c>
      <c r="N56" s="431"/>
      <c r="O56" s="210">
        <f t="shared" si="2"/>
        <v>0</v>
      </c>
      <c r="P56" s="189" t="s">
        <v>582</v>
      </c>
    </row>
    <row r="57" spans="1:16" ht="15.75" customHeight="1">
      <c r="A57" s="209" t="s">
        <v>592</v>
      </c>
      <c r="B57" s="275" t="s">
        <v>593</v>
      </c>
      <c r="C57" s="202" t="s">
        <v>585</v>
      </c>
      <c r="D57" s="260" t="s">
        <v>31</v>
      </c>
      <c r="E57" s="268" t="s">
        <v>580</v>
      </c>
      <c r="F57" s="428"/>
      <c r="G57" s="428"/>
      <c r="H57" s="430">
        <v>5.22</v>
      </c>
      <c r="I57" s="207">
        <f>(F57-G57)*(H57/100)</f>
        <v>0</v>
      </c>
      <c r="J57" s="430"/>
      <c r="K57" s="430"/>
      <c r="L57" s="207">
        <f>(F57-J57)*(K57/100)</f>
        <v>0</v>
      </c>
      <c r="M57" s="276">
        <f>SUM(L57,I57)</f>
        <v>0</v>
      </c>
      <c r="N57" s="431"/>
      <c r="O57" s="210">
        <f t="shared" si="2"/>
        <v>5.22</v>
      </c>
      <c r="P57" s="189" t="s">
        <v>582</v>
      </c>
    </row>
    <row r="58" spans="1:16" ht="15.75" customHeight="1">
      <c r="A58" s="209" t="s">
        <v>594</v>
      </c>
      <c r="B58" s="275" t="s">
        <v>595</v>
      </c>
      <c r="C58" s="202" t="s">
        <v>585</v>
      </c>
      <c r="D58" s="260" t="s">
        <v>596</v>
      </c>
      <c r="E58" s="272" t="s">
        <v>580</v>
      </c>
      <c r="F58" s="428"/>
      <c r="G58" s="428"/>
      <c r="H58" s="430"/>
      <c r="I58" s="207">
        <f>(F58-G58)*(H58/100)</f>
        <v>0</v>
      </c>
      <c r="J58" s="430"/>
      <c r="K58" s="430"/>
      <c r="L58" s="207">
        <f>(F58-J58)*(K58/100)</f>
        <v>0</v>
      </c>
      <c r="M58" s="276">
        <f>SUM(L58,I58)</f>
        <v>0</v>
      </c>
      <c r="N58" s="429"/>
      <c r="O58" s="210">
        <f t="shared" si="2"/>
        <v>0</v>
      </c>
      <c r="P58" s="189" t="s">
        <v>582</v>
      </c>
    </row>
    <row r="59" spans="1:16" ht="15.75" customHeight="1">
      <c r="A59" s="211" t="s">
        <v>94</v>
      </c>
      <c r="B59" s="202" t="s">
        <v>597</v>
      </c>
      <c r="C59" s="202" t="s">
        <v>598</v>
      </c>
      <c r="D59" s="260" t="s">
        <v>87</v>
      </c>
      <c r="E59" s="268" t="s">
        <v>580</v>
      </c>
      <c r="F59" s="428"/>
      <c r="G59" s="428"/>
      <c r="H59" s="207">
        <f>SUM(H60:H64)</f>
        <v>28.95</v>
      </c>
      <c r="I59" s="207">
        <f>SUM(I60:I64)</f>
        <v>0</v>
      </c>
      <c r="J59" s="428"/>
      <c r="K59" s="207">
        <f>SUM(K60:K64)</f>
        <v>0</v>
      </c>
      <c r="L59" s="207">
        <f>SUM(L60:L64)</f>
        <v>0</v>
      </c>
      <c r="M59" s="207">
        <f>SUM(M60:M64)</f>
        <v>0</v>
      </c>
      <c r="N59" s="429"/>
      <c r="O59" s="208">
        <f t="shared" si="2"/>
        <v>28.95</v>
      </c>
      <c r="P59" s="189" t="s">
        <v>582</v>
      </c>
    </row>
    <row r="60" spans="1:16" ht="15.75" customHeight="1">
      <c r="A60" s="212" t="s">
        <v>599</v>
      </c>
      <c r="B60" s="275" t="s">
        <v>587</v>
      </c>
      <c r="C60" s="202" t="s">
        <v>598</v>
      </c>
      <c r="D60" s="260" t="s">
        <v>28</v>
      </c>
      <c r="E60" s="272" t="s">
        <v>580</v>
      </c>
      <c r="F60" s="428"/>
      <c r="G60" s="428"/>
      <c r="H60" s="430"/>
      <c r="I60" s="207">
        <f>(F60-G60)*(H60/100)</f>
        <v>0</v>
      </c>
      <c r="J60" s="430"/>
      <c r="K60" s="430"/>
      <c r="L60" s="207">
        <f>(F60-J60)*(K60/100)</f>
        <v>0</v>
      </c>
      <c r="M60" s="276">
        <f>SUM(L60,I60)</f>
        <v>0</v>
      </c>
      <c r="N60" s="431"/>
      <c r="O60" s="210">
        <f t="shared" si="2"/>
        <v>0</v>
      </c>
      <c r="P60" s="189" t="s">
        <v>582</v>
      </c>
    </row>
    <row r="61" spans="1:16" ht="15.75" customHeight="1">
      <c r="A61" s="212" t="s">
        <v>600</v>
      </c>
      <c r="B61" s="275" t="s">
        <v>589</v>
      </c>
      <c r="C61" s="202" t="s">
        <v>598</v>
      </c>
      <c r="D61" s="260" t="s">
        <v>29</v>
      </c>
      <c r="E61" s="268" t="s">
        <v>580</v>
      </c>
      <c r="F61" s="428"/>
      <c r="G61" s="428"/>
      <c r="H61" s="430"/>
      <c r="I61" s="207">
        <f>(F61-G61)*(H61/100)</f>
        <v>0</v>
      </c>
      <c r="J61" s="430"/>
      <c r="K61" s="430"/>
      <c r="L61" s="207">
        <f>(F61-J61)*(K61/100)</f>
        <v>0</v>
      </c>
      <c r="M61" s="276">
        <f>SUM(L61,I61)</f>
        <v>0</v>
      </c>
      <c r="N61" s="431"/>
      <c r="O61" s="210">
        <f t="shared" si="2"/>
        <v>0</v>
      </c>
      <c r="P61" s="189" t="s">
        <v>582</v>
      </c>
    </row>
    <row r="62" spans="1:16" ht="15.75" customHeight="1">
      <c r="A62" s="212" t="s">
        <v>601</v>
      </c>
      <c r="B62" s="275" t="s">
        <v>591</v>
      </c>
      <c r="C62" s="202" t="s">
        <v>598</v>
      </c>
      <c r="D62" s="260" t="s">
        <v>30</v>
      </c>
      <c r="E62" s="272" t="s">
        <v>580</v>
      </c>
      <c r="F62" s="428"/>
      <c r="G62" s="428"/>
      <c r="H62" s="430"/>
      <c r="I62" s="207">
        <f>(F62-G62)*(H62/100)</f>
        <v>0</v>
      </c>
      <c r="J62" s="430"/>
      <c r="K62" s="430"/>
      <c r="L62" s="207">
        <f>(F62-J62)*(K62/100)</f>
        <v>0</v>
      </c>
      <c r="M62" s="276">
        <f>SUM(L62,I62)</f>
        <v>0</v>
      </c>
      <c r="N62" s="431"/>
      <c r="O62" s="210">
        <f t="shared" si="2"/>
        <v>0</v>
      </c>
      <c r="P62" s="189" t="s">
        <v>582</v>
      </c>
    </row>
    <row r="63" spans="1:16" ht="15.75" customHeight="1">
      <c r="A63" s="212" t="s">
        <v>602</v>
      </c>
      <c r="B63" s="275" t="s">
        <v>593</v>
      </c>
      <c r="C63" s="202" t="s">
        <v>598</v>
      </c>
      <c r="D63" s="260" t="s">
        <v>31</v>
      </c>
      <c r="E63" s="268" t="s">
        <v>580</v>
      </c>
      <c r="F63" s="428"/>
      <c r="G63" s="428"/>
      <c r="H63" s="430">
        <v>28.95</v>
      </c>
      <c r="I63" s="207">
        <f>(F63-G63)*(H63/100)</f>
        <v>0</v>
      </c>
      <c r="J63" s="430"/>
      <c r="K63" s="430"/>
      <c r="L63" s="207">
        <f>(F63-J63)*(K63/100)</f>
        <v>0</v>
      </c>
      <c r="M63" s="276">
        <f>SUM(L63,I63)</f>
        <v>0</v>
      </c>
      <c r="N63" s="431"/>
      <c r="O63" s="210">
        <f t="shared" si="2"/>
        <v>28.95</v>
      </c>
      <c r="P63" s="189" t="s">
        <v>582</v>
      </c>
    </row>
    <row r="64" spans="1:16" ht="15.75" customHeight="1">
      <c r="A64" s="212" t="s">
        <v>603</v>
      </c>
      <c r="B64" s="275" t="s">
        <v>595</v>
      </c>
      <c r="C64" s="202" t="s">
        <v>598</v>
      </c>
      <c r="D64" s="260" t="s">
        <v>596</v>
      </c>
      <c r="E64" s="272" t="s">
        <v>580</v>
      </c>
      <c r="F64" s="428"/>
      <c r="G64" s="428"/>
      <c r="H64" s="430"/>
      <c r="I64" s="207">
        <f>(F64-G64)*(H64/100)</f>
        <v>0</v>
      </c>
      <c r="J64" s="430"/>
      <c r="K64" s="430"/>
      <c r="L64" s="207">
        <f>(F64-J64)*(K64/100)</f>
        <v>0</v>
      </c>
      <c r="M64" s="276">
        <f>SUM(L64,I64)</f>
        <v>0</v>
      </c>
      <c r="N64" s="431"/>
      <c r="O64" s="210">
        <f t="shared" si="2"/>
        <v>0</v>
      </c>
      <c r="P64" s="189" t="s">
        <v>582</v>
      </c>
    </row>
    <row r="65" spans="1:16" s="205" customFormat="1" ht="15.75" customHeight="1">
      <c r="A65" s="201" t="s">
        <v>69</v>
      </c>
      <c r="B65" s="271" t="s">
        <v>604</v>
      </c>
      <c r="C65" s="202" t="s">
        <v>604</v>
      </c>
      <c r="D65" s="272" t="s">
        <v>87</v>
      </c>
      <c r="E65" s="268" t="s">
        <v>580</v>
      </c>
      <c r="F65" s="273"/>
      <c r="G65" s="273"/>
      <c r="H65" s="203">
        <f>SUM(H66:H70)</f>
        <v>1.45</v>
      </c>
      <c r="I65" s="203">
        <f>SUM(I66:I70)</f>
        <v>0</v>
      </c>
      <c r="J65" s="273"/>
      <c r="K65" s="203">
        <f>SUM(K66:K70)</f>
        <v>0</v>
      </c>
      <c r="L65" s="203">
        <f>SUM(L66:L70)</f>
        <v>0</v>
      </c>
      <c r="M65" s="203">
        <f>SUM(M66:M70)</f>
        <v>0</v>
      </c>
      <c r="N65" s="274">
        <f>IF(O65=0,0,((N66*O66)+(N67*O67)+(N68*O68)+(N69*O69)+(N70*O70))/O65)</f>
        <v>0</v>
      </c>
      <c r="O65" s="204">
        <f>SUM(H63,K63)</f>
        <v>28.95</v>
      </c>
      <c r="P65" s="205" t="s">
        <v>582</v>
      </c>
    </row>
    <row r="66" spans="1:16" ht="15.75" customHeight="1">
      <c r="A66" s="212" t="s">
        <v>314</v>
      </c>
      <c r="B66" s="275" t="s">
        <v>587</v>
      </c>
      <c r="C66" s="202" t="s">
        <v>604</v>
      </c>
      <c r="D66" s="260" t="s">
        <v>28</v>
      </c>
      <c r="E66" s="272" t="s">
        <v>580</v>
      </c>
      <c r="F66" s="428"/>
      <c r="G66" s="430"/>
      <c r="H66" s="430"/>
      <c r="I66" s="207">
        <f>(F66-G66)*(H66/100)</f>
        <v>0</v>
      </c>
      <c r="J66" s="430"/>
      <c r="K66" s="430"/>
      <c r="L66" s="207">
        <f>(F66-J66)*(K66/100)</f>
        <v>0</v>
      </c>
      <c r="M66" s="276">
        <f>SUM(L66,I66)</f>
        <v>0</v>
      </c>
      <c r="N66" s="431"/>
      <c r="O66" s="210">
        <f>SUM(H66,K66)</f>
        <v>0</v>
      </c>
      <c r="P66" s="189" t="s">
        <v>582</v>
      </c>
    </row>
    <row r="67" spans="1:16" ht="15.75" customHeight="1">
      <c r="A67" s="212" t="s">
        <v>316</v>
      </c>
      <c r="B67" s="275" t="s">
        <v>589</v>
      </c>
      <c r="C67" s="202" t="s">
        <v>604</v>
      </c>
      <c r="D67" s="260" t="s">
        <v>29</v>
      </c>
      <c r="E67" s="268" t="s">
        <v>580</v>
      </c>
      <c r="F67" s="428"/>
      <c r="G67" s="430"/>
      <c r="H67" s="430"/>
      <c r="I67" s="207">
        <f>(F67-G67)*(H67/100)</f>
        <v>0</v>
      </c>
      <c r="J67" s="430"/>
      <c r="K67" s="430"/>
      <c r="L67" s="207">
        <f>(F67-J67)*(K67/100)</f>
        <v>0</v>
      </c>
      <c r="M67" s="276">
        <f>SUM(L67,I67)</f>
        <v>0</v>
      </c>
      <c r="N67" s="431"/>
      <c r="O67" s="210">
        <f>SUM(H67,K67)</f>
        <v>0</v>
      </c>
      <c r="P67" s="189" t="s">
        <v>582</v>
      </c>
    </row>
    <row r="68" spans="1:16" ht="15.75" customHeight="1">
      <c r="A68" s="212" t="s">
        <v>318</v>
      </c>
      <c r="B68" s="275" t="s">
        <v>591</v>
      </c>
      <c r="C68" s="202" t="s">
        <v>604</v>
      </c>
      <c r="D68" s="260" t="s">
        <v>30</v>
      </c>
      <c r="E68" s="272" t="s">
        <v>580</v>
      </c>
      <c r="F68" s="428"/>
      <c r="G68" s="430"/>
      <c r="H68" s="430"/>
      <c r="I68" s="207">
        <f>(F68-G68)*(H68/100)</f>
        <v>0</v>
      </c>
      <c r="J68" s="430"/>
      <c r="K68" s="430"/>
      <c r="L68" s="207">
        <f>(F68-J68)*(K68/100)</f>
        <v>0</v>
      </c>
      <c r="M68" s="276">
        <f>SUM(L68,I68)</f>
        <v>0</v>
      </c>
      <c r="N68" s="431"/>
      <c r="O68" s="210">
        <f>SUM(H68,K68)</f>
        <v>0</v>
      </c>
      <c r="P68" s="189" t="s">
        <v>582</v>
      </c>
    </row>
    <row r="69" spans="1:16" ht="15.75" customHeight="1">
      <c r="A69" s="212" t="s">
        <v>320</v>
      </c>
      <c r="B69" s="275" t="s">
        <v>593</v>
      </c>
      <c r="C69" s="202" t="s">
        <v>604</v>
      </c>
      <c r="D69" s="260" t="s">
        <v>31</v>
      </c>
      <c r="E69" s="268" t="s">
        <v>580</v>
      </c>
      <c r="F69" s="428"/>
      <c r="G69" s="430"/>
      <c r="H69" s="430">
        <v>1.45</v>
      </c>
      <c r="I69" s="207">
        <f>(F69-G69)*(H69/100)</f>
        <v>0</v>
      </c>
      <c r="J69" s="430"/>
      <c r="K69" s="430"/>
      <c r="L69" s="207">
        <f>(F69-J69)*(K69/100)</f>
        <v>0</v>
      </c>
      <c r="M69" s="276">
        <f>SUM(L69,I69)</f>
        <v>0</v>
      </c>
      <c r="N69" s="431"/>
      <c r="O69" s="210">
        <f>SUM(H69,K69)</f>
        <v>1.45</v>
      </c>
      <c r="P69" s="189" t="s">
        <v>582</v>
      </c>
    </row>
    <row r="70" spans="1:16" ht="15.75" customHeight="1">
      <c r="A70" s="212" t="s">
        <v>322</v>
      </c>
      <c r="B70" s="275" t="s">
        <v>595</v>
      </c>
      <c r="C70" s="202" t="s">
        <v>604</v>
      </c>
      <c r="D70" s="260" t="s">
        <v>596</v>
      </c>
      <c r="E70" s="272" t="s">
        <v>580</v>
      </c>
      <c r="F70" s="428"/>
      <c r="G70" s="430"/>
      <c r="H70" s="430"/>
      <c r="I70" s="207">
        <f>(F70-G70)*(H70/100)</f>
        <v>0</v>
      </c>
      <c r="J70" s="430"/>
      <c r="K70" s="430"/>
      <c r="L70" s="207">
        <f>(F70-J70)*(K70/100)</f>
        <v>0</v>
      </c>
      <c r="M70" s="276">
        <f>SUM(L70,I70)</f>
        <v>0</v>
      </c>
      <c r="N70" s="431"/>
      <c r="O70" s="210">
        <f>SUM(H70,K70)</f>
        <v>0</v>
      </c>
      <c r="P70" s="189" t="s">
        <v>582</v>
      </c>
    </row>
    <row r="71" spans="1:16" s="205" customFormat="1" ht="23.25" customHeight="1">
      <c r="A71" s="201" t="s">
        <v>75</v>
      </c>
      <c r="B71" s="271" t="s">
        <v>605</v>
      </c>
      <c r="C71" s="202" t="s">
        <v>605</v>
      </c>
      <c r="D71" s="272" t="s">
        <v>87</v>
      </c>
      <c r="E71" s="268" t="s">
        <v>580</v>
      </c>
      <c r="F71" s="273"/>
      <c r="G71" s="273"/>
      <c r="H71" s="203">
        <f>SUM(H72:H76)</f>
        <v>1.08</v>
      </c>
      <c r="I71" s="203">
        <f>SUM(I72:I76)</f>
        <v>0</v>
      </c>
      <c r="J71" s="273"/>
      <c r="K71" s="203">
        <f>SUM(K72:K76)</f>
        <v>0</v>
      </c>
      <c r="L71" s="203">
        <f>SUM(L72:L76)</f>
        <v>0</v>
      </c>
      <c r="M71" s="203">
        <f>SUM(M72:M76)</f>
        <v>0</v>
      </c>
      <c r="N71" s="274">
        <f>IF(O71=0,0,((N72*O72)+(N73*O73)+(N74*O74)+(N75*O75)+(N76*O76))/O71)</f>
        <v>0</v>
      </c>
      <c r="O71" s="204">
        <f>SUM(H69,K69)</f>
        <v>1.45</v>
      </c>
      <c r="P71" s="205" t="s">
        <v>582</v>
      </c>
    </row>
    <row r="72" spans="1:16" ht="15.75" customHeight="1">
      <c r="A72" s="212" t="s">
        <v>518</v>
      </c>
      <c r="B72" s="275" t="s">
        <v>587</v>
      </c>
      <c r="C72" s="202" t="s">
        <v>605</v>
      </c>
      <c r="D72" s="260" t="s">
        <v>28</v>
      </c>
      <c r="E72" s="272" t="s">
        <v>580</v>
      </c>
      <c r="F72" s="428"/>
      <c r="G72" s="430"/>
      <c r="H72" s="430"/>
      <c r="I72" s="207">
        <f>(F72-G72)*(H72/100)</f>
        <v>0</v>
      </c>
      <c r="J72" s="430"/>
      <c r="K72" s="430"/>
      <c r="L72" s="207">
        <f>(F72-J72)*(K72/100)</f>
        <v>0</v>
      </c>
      <c r="M72" s="276">
        <f>SUM(L72,I72)</f>
        <v>0</v>
      </c>
      <c r="N72" s="431"/>
      <c r="O72" s="210">
        <f aca="true" t="shared" si="3" ref="O72:O88">SUM(H72,K72)</f>
        <v>0</v>
      </c>
      <c r="P72" s="189" t="s">
        <v>582</v>
      </c>
    </row>
    <row r="73" spans="1:16" ht="15.75" customHeight="1">
      <c r="A73" s="212" t="s">
        <v>519</v>
      </c>
      <c r="B73" s="275" t="s">
        <v>589</v>
      </c>
      <c r="C73" s="202" t="s">
        <v>605</v>
      </c>
      <c r="D73" s="260" t="s">
        <v>29</v>
      </c>
      <c r="E73" s="268" t="s">
        <v>580</v>
      </c>
      <c r="F73" s="428"/>
      <c r="G73" s="430"/>
      <c r="H73" s="430"/>
      <c r="I73" s="207">
        <f>(F73-G73)*(H73/100)</f>
        <v>0</v>
      </c>
      <c r="J73" s="430"/>
      <c r="K73" s="430"/>
      <c r="L73" s="207">
        <f>(F73-J73)*(K73/100)</f>
        <v>0</v>
      </c>
      <c r="M73" s="276">
        <f>SUM(L73,I73)</f>
        <v>0</v>
      </c>
      <c r="N73" s="431"/>
      <c r="O73" s="210">
        <f t="shared" si="3"/>
        <v>0</v>
      </c>
      <c r="P73" s="189" t="s">
        <v>582</v>
      </c>
    </row>
    <row r="74" spans="1:16" ht="15.75" customHeight="1">
      <c r="A74" s="212" t="s">
        <v>520</v>
      </c>
      <c r="B74" s="275" t="s">
        <v>591</v>
      </c>
      <c r="C74" s="202" t="s">
        <v>605</v>
      </c>
      <c r="D74" s="260" t="s">
        <v>30</v>
      </c>
      <c r="E74" s="272" t="s">
        <v>580</v>
      </c>
      <c r="F74" s="428"/>
      <c r="G74" s="430"/>
      <c r="H74" s="430"/>
      <c r="I74" s="207">
        <f>(F74-G74)*(H74/100)</f>
        <v>0</v>
      </c>
      <c r="J74" s="430"/>
      <c r="K74" s="430"/>
      <c r="L74" s="207">
        <f>(F74-J74)*(K74/100)</f>
        <v>0</v>
      </c>
      <c r="M74" s="276">
        <f>SUM(L74,I74)</f>
        <v>0</v>
      </c>
      <c r="N74" s="431"/>
      <c r="O74" s="210">
        <f t="shared" si="3"/>
        <v>0</v>
      </c>
      <c r="P74" s="189" t="s">
        <v>582</v>
      </c>
    </row>
    <row r="75" spans="1:16" ht="15.75" customHeight="1">
      <c r="A75" s="212" t="s">
        <v>606</v>
      </c>
      <c r="B75" s="275" t="s">
        <v>593</v>
      </c>
      <c r="C75" s="202" t="s">
        <v>605</v>
      </c>
      <c r="D75" s="260" t="s">
        <v>31</v>
      </c>
      <c r="E75" s="268" t="s">
        <v>580</v>
      </c>
      <c r="F75" s="428"/>
      <c r="G75" s="430"/>
      <c r="H75" s="430">
        <v>1.08</v>
      </c>
      <c r="I75" s="207">
        <f>(F75-G75)*(H75/100)</f>
        <v>0</v>
      </c>
      <c r="J75" s="430"/>
      <c r="K75" s="430"/>
      <c r="L75" s="207">
        <f>(F75-J75)*(K75/100)</f>
        <v>0</v>
      </c>
      <c r="M75" s="276">
        <f>SUM(L75,I75)</f>
        <v>0</v>
      </c>
      <c r="N75" s="431"/>
      <c r="O75" s="210">
        <f t="shared" si="3"/>
        <v>1.08</v>
      </c>
      <c r="P75" s="189" t="s">
        <v>582</v>
      </c>
    </row>
    <row r="76" spans="1:16" ht="15.75" customHeight="1">
      <c r="A76" s="212" t="s">
        <v>607</v>
      </c>
      <c r="B76" s="275" t="s">
        <v>595</v>
      </c>
      <c r="C76" s="202" t="s">
        <v>605</v>
      </c>
      <c r="D76" s="260" t="s">
        <v>596</v>
      </c>
      <c r="E76" s="272" t="s">
        <v>580</v>
      </c>
      <c r="F76" s="428"/>
      <c r="G76" s="430"/>
      <c r="H76" s="430"/>
      <c r="I76" s="207">
        <f>(F76-G76)*(H76/100)</f>
        <v>0</v>
      </c>
      <c r="J76" s="430"/>
      <c r="K76" s="430"/>
      <c r="L76" s="207">
        <f>(F76-J76)*(K76/100)</f>
        <v>0</v>
      </c>
      <c r="M76" s="276">
        <f>SUM(L76,I76)</f>
        <v>0</v>
      </c>
      <c r="N76" s="431"/>
      <c r="O76" s="210">
        <f t="shared" si="3"/>
        <v>0</v>
      </c>
      <c r="P76" s="189" t="s">
        <v>582</v>
      </c>
    </row>
    <row r="77" spans="1:16" s="213" customFormat="1" ht="24" customHeight="1">
      <c r="A77" s="284" t="s">
        <v>78</v>
      </c>
      <c r="B77" s="277" t="s">
        <v>608</v>
      </c>
      <c r="C77" s="278" t="s">
        <v>608</v>
      </c>
      <c r="D77" s="279" t="s">
        <v>87</v>
      </c>
      <c r="E77" s="268" t="s">
        <v>580</v>
      </c>
      <c r="F77" s="273"/>
      <c r="G77" s="273"/>
      <c r="H77" s="203">
        <f>SUM(H78:H82)</f>
        <v>0</v>
      </c>
      <c r="I77" s="203">
        <f>SUM(I78:I82)</f>
        <v>0</v>
      </c>
      <c r="J77" s="273"/>
      <c r="K77" s="203">
        <f>SUM(K78:K82)</f>
        <v>0</v>
      </c>
      <c r="L77" s="203">
        <f>SUM(L78:L82)</f>
        <v>0</v>
      </c>
      <c r="M77" s="203">
        <f>SUM(M78:M82)</f>
        <v>0</v>
      </c>
      <c r="N77" s="279"/>
      <c r="O77" s="210">
        <f t="shared" si="3"/>
        <v>0</v>
      </c>
      <c r="P77" s="213" t="s">
        <v>582</v>
      </c>
    </row>
    <row r="78" spans="1:16" s="213" customFormat="1" ht="15.75" customHeight="1">
      <c r="A78" s="286" t="s">
        <v>105</v>
      </c>
      <c r="B78" s="280" t="s">
        <v>587</v>
      </c>
      <c r="C78" s="278" t="s">
        <v>608</v>
      </c>
      <c r="D78" s="279" t="s">
        <v>28</v>
      </c>
      <c r="E78" s="272" t="s">
        <v>580</v>
      </c>
      <c r="F78" s="428"/>
      <c r="G78" s="430"/>
      <c r="H78" s="430"/>
      <c r="I78" s="207">
        <f>(F78-G78)*(H78/100)</f>
        <v>0</v>
      </c>
      <c r="J78" s="430"/>
      <c r="K78" s="430"/>
      <c r="L78" s="207">
        <f>(F78-J78)*(K78/100)</f>
        <v>0</v>
      </c>
      <c r="M78" s="276">
        <f>SUM(L78,I78)</f>
        <v>0</v>
      </c>
      <c r="N78" s="431"/>
      <c r="O78" s="210">
        <f t="shared" si="3"/>
        <v>0</v>
      </c>
      <c r="P78" s="213" t="s">
        <v>582</v>
      </c>
    </row>
    <row r="79" spans="1:16" s="213" customFormat="1" ht="15.75" customHeight="1">
      <c r="A79" s="286" t="s">
        <v>113</v>
      </c>
      <c r="B79" s="280" t="s">
        <v>589</v>
      </c>
      <c r="C79" s="278" t="s">
        <v>608</v>
      </c>
      <c r="D79" s="279" t="s">
        <v>29</v>
      </c>
      <c r="E79" s="268" t="s">
        <v>580</v>
      </c>
      <c r="F79" s="428"/>
      <c r="G79" s="430"/>
      <c r="H79" s="430"/>
      <c r="I79" s="207">
        <f>(F79-G79)*(H79/100)</f>
        <v>0</v>
      </c>
      <c r="J79" s="430"/>
      <c r="K79" s="430"/>
      <c r="L79" s="207">
        <f>(F79-J79)*(K79/100)</f>
        <v>0</v>
      </c>
      <c r="M79" s="276">
        <f>SUM(L79,I79)</f>
        <v>0</v>
      </c>
      <c r="N79" s="431"/>
      <c r="O79" s="210">
        <f t="shared" si="3"/>
        <v>0</v>
      </c>
      <c r="P79" s="213" t="s">
        <v>582</v>
      </c>
    </row>
    <row r="80" spans="1:16" s="213" customFormat="1" ht="15.75" customHeight="1">
      <c r="A80" s="286" t="s">
        <v>116</v>
      </c>
      <c r="B80" s="280" t="s">
        <v>591</v>
      </c>
      <c r="C80" s="278" t="s">
        <v>608</v>
      </c>
      <c r="D80" s="279" t="s">
        <v>30</v>
      </c>
      <c r="E80" s="272" t="s">
        <v>580</v>
      </c>
      <c r="F80" s="428"/>
      <c r="G80" s="430"/>
      <c r="H80" s="430"/>
      <c r="I80" s="207">
        <f>(F80-G80)*(H80/100)</f>
        <v>0</v>
      </c>
      <c r="J80" s="430"/>
      <c r="K80" s="430"/>
      <c r="L80" s="207">
        <f>(F80-J80)*(K80/100)</f>
        <v>0</v>
      </c>
      <c r="M80" s="276">
        <f>SUM(L80,I80)</f>
        <v>0</v>
      </c>
      <c r="N80" s="431"/>
      <c r="O80" s="210">
        <f t="shared" si="3"/>
        <v>0</v>
      </c>
      <c r="P80" s="213" t="s">
        <v>582</v>
      </c>
    </row>
    <row r="81" spans="1:16" s="213" customFormat="1" ht="15.75" customHeight="1">
      <c r="A81" s="286" t="s">
        <v>119</v>
      </c>
      <c r="B81" s="280" t="s">
        <v>593</v>
      </c>
      <c r="C81" s="278" t="s">
        <v>608</v>
      </c>
      <c r="D81" s="279" t="s">
        <v>31</v>
      </c>
      <c r="E81" s="268" t="s">
        <v>580</v>
      </c>
      <c r="F81" s="428"/>
      <c r="G81" s="430"/>
      <c r="H81" s="430"/>
      <c r="I81" s="207">
        <f>(F81-G81)*(H81/100)</f>
        <v>0</v>
      </c>
      <c r="J81" s="430"/>
      <c r="K81" s="430"/>
      <c r="L81" s="207">
        <f>(F81-J81)*(K81/100)</f>
        <v>0</v>
      </c>
      <c r="M81" s="276">
        <f>SUM(L81,I81)</f>
        <v>0</v>
      </c>
      <c r="N81" s="431"/>
      <c r="O81" s="210">
        <f t="shared" si="3"/>
        <v>0</v>
      </c>
      <c r="P81" s="213" t="s">
        <v>582</v>
      </c>
    </row>
    <row r="82" spans="1:16" s="213" customFormat="1" ht="15.75" customHeight="1">
      <c r="A82" s="286" t="s">
        <v>173</v>
      </c>
      <c r="B82" s="280" t="s">
        <v>595</v>
      </c>
      <c r="C82" s="278" t="s">
        <v>608</v>
      </c>
      <c r="D82" s="279" t="s">
        <v>596</v>
      </c>
      <c r="E82" s="272" t="s">
        <v>580</v>
      </c>
      <c r="F82" s="428"/>
      <c r="G82" s="430"/>
      <c r="H82" s="430"/>
      <c r="I82" s="207">
        <f>(F82-G82)*(H82/100)</f>
        <v>0</v>
      </c>
      <c r="J82" s="430"/>
      <c r="K82" s="430"/>
      <c r="L82" s="207">
        <f>(F82-J82)*(K82/100)</f>
        <v>0</v>
      </c>
      <c r="M82" s="276">
        <f>SUM(L82,I82)</f>
        <v>0</v>
      </c>
      <c r="N82" s="431"/>
      <c r="O82" s="210">
        <f t="shared" si="3"/>
        <v>0</v>
      </c>
      <c r="P82" s="213" t="s">
        <v>582</v>
      </c>
    </row>
    <row r="83" spans="1:16" s="213" customFormat="1" ht="38.25" customHeight="1">
      <c r="A83" s="284" t="s">
        <v>122</v>
      </c>
      <c r="B83" s="277" t="s">
        <v>609</v>
      </c>
      <c r="C83" s="278" t="s">
        <v>609</v>
      </c>
      <c r="D83" s="279" t="s">
        <v>87</v>
      </c>
      <c r="E83" s="268" t="s">
        <v>580</v>
      </c>
      <c r="F83" s="273"/>
      <c r="G83" s="273"/>
      <c r="H83" s="203">
        <f>SUM(H84:H88)</f>
        <v>0</v>
      </c>
      <c r="I83" s="203">
        <f>SUM(I84:I88)</f>
        <v>0</v>
      </c>
      <c r="J83" s="273"/>
      <c r="K83" s="203">
        <f>SUM(K84:K88)</f>
        <v>0</v>
      </c>
      <c r="L83" s="203">
        <f>SUM(L84:L88)</f>
        <v>0</v>
      </c>
      <c r="M83" s="203">
        <f>SUM(M84:M88)</f>
        <v>0</v>
      </c>
      <c r="N83" s="279"/>
      <c r="O83" s="210">
        <f t="shared" si="3"/>
        <v>0</v>
      </c>
      <c r="P83" s="213" t="s">
        <v>582</v>
      </c>
    </row>
    <row r="84" spans="1:16" s="213" customFormat="1" ht="15.75" customHeight="1">
      <c r="A84" s="286" t="s">
        <v>218</v>
      </c>
      <c r="B84" s="280" t="s">
        <v>587</v>
      </c>
      <c r="C84" s="278" t="s">
        <v>609</v>
      </c>
      <c r="D84" s="279" t="s">
        <v>28</v>
      </c>
      <c r="E84" s="272" t="s">
        <v>580</v>
      </c>
      <c r="F84" s="428"/>
      <c r="G84" s="430"/>
      <c r="H84" s="430"/>
      <c r="I84" s="207">
        <f>(F84-G84)*(H84/100)</f>
        <v>0</v>
      </c>
      <c r="J84" s="430"/>
      <c r="K84" s="430"/>
      <c r="L84" s="207">
        <f>(F84-J84)*(K84/100)</f>
        <v>0</v>
      </c>
      <c r="M84" s="276">
        <f>SUM(L84,I84)</f>
        <v>0</v>
      </c>
      <c r="N84" s="431"/>
      <c r="O84" s="210">
        <f t="shared" si="3"/>
        <v>0</v>
      </c>
      <c r="P84" s="213" t="s">
        <v>582</v>
      </c>
    </row>
    <row r="85" spans="1:16" s="213" customFormat="1" ht="15.75" customHeight="1">
      <c r="A85" s="286" t="s">
        <v>220</v>
      </c>
      <c r="B85" s="280" t="s">
        <v>589</v>
      </c>
      <c r="C85" s="278" t="s">
        <v>609</v>
      </c>
      <c r="D85" s="279" t="s">
        <v>29</v>
      </c>
      <c r="E85" s="268" t="s">
        <v>580</v>
      </c>
      <c r="F85" s="428"/>
      <c r="G85" s="430"/>
      <c r="H85" s="430"/>
      <c r="I85" s="207">
        <f>(F85-G85)*(H85/100)</f>
        <v>0</v>
      </c>
      <c r="J85" s="430"/>
      <c r="K85" s="430"/>
      <c r="L85" s="207">
        <f>(F85-J85)*(K85/100)</f>
        <v>0</v>
      </c>
      <c r="M85" s="276">
        <f>SUM(L85,I85)</f>
        <v>0</v>
      </c>
      <c r="N85" s="431"/>
      <c r="O85" s="210">
        <f t="shared" si="3"/>
        <v>0</v>
      </c>
      <c r="P85" s="213" t="s">
        <v>582</v>
      </c>
    </row>
    <row r="86" spans="1:16" s="213" customFormat="1" ht="15.75" customHeight="1">
      <c r="A86" s="286" t="s">
        <v>222</v>
      </c>
      <c r="B86" s="280" t="s">
        <v>591</v>
      </c>
      <c r="C86" s="278" t="s">
        <v>609</v>
      </c>
      <c r="D86" s="279" t="s">
        <v>30</v>
      </c>
      <c r="E86" s="272" t="s">
        <v>580</v>
      </c>
      <c r="F86" s="428"/>
      <c r="G86" s="430"/>
      <c r="H86" s="430"/>
      <c r="I86" s="207">
        <f>(F86-G86)*(H86/100)</f>
        <v>0</v>
      </c>
      <c r="J86" s="430"/>
      <c r="K86" s="430"/>
      <c r="L86" s="207">
        <f>(F86-J86)*(K86/100)</f>
        <v>0</v>
      </c>
      <c r="M86" s="276">
        <f>SUM(L86,I86)</f>
        <v>0</v>
      </c>
      <c r="N86" s="431"/>
      <c r="O86" s="210">
        <f t="shared" si="3"/>
        <v>0</v>
      </c>
      <c r="P86" s="213" t="s">
        <v>582</v>
      </c>
    </row>
    <row r="87" spans="1:16" s="213" customFormat="1" ht="15.75" customHeight="1">
      <c r="A87" s="286" t="s">
        <v>224</v>
      </c>
      <c r="B87" s="280" t="s">
        <v>593</v>
      </c>
      <c r="C87" s="278" t="s">
        <v>609</v>
      </c>
      <c r="D87" s="279" t="s">
        <v>31</v>
      </c>
      <c r="E87" s="268" t="s">
        <v>580</v>
      </c>
      <c r="F87" s="428"/>
      <c r="G87" s="430"/>
      <c r="H87" s="430"/>
      <c r="I87" s="207">
        <f>(F87-G87)*(H87/100)</f>
        <v>0</v>
      </c>
      <c r="J87" s="430"/>
      <c r="K87" s="430"/>
      <c r="L87" s="207">
        <f>(F87-J87)*(K87/100)</f>
        <v>0</v>
      </c>
      <c r="M87" s="276">
        <f>SUM(L87,I87)</f>
        <v>0</v>
      </c>
      <c r="N87" s="431"/>
      <c r="O87" s="210">
        <f t="shared" si="3"/>
        <v>0</v>
      </c>
      <c r="P87" s="213" t="s">
        <v>582</v>
      </c>
    </row>
    <row r="88" spans="1:16" s="213" customFormat="1" ht="15.75" customHeight="1">
      <c r="A88" s="286" t="s">
        <v>226</v>
      </c>
      <c r="B88" s="280" t="s">
        <v>595</v>
      </c>
      <c r="C88" s="278" t="s">
        <v>609</v>
      </c>
      <c r="D88" s="279" t="s">
        <v>596</v>
      </c>
      <c r="E88" s="272" t="s">
        <v>580</v>
      </c>
      <c r="F88" s="428"/>
      <c r="G88" s="430"/>
      <c r="H88" s="430"/>
      <c r="I88" s="207">
        <f>(F88-G88)*(H88/100)</f>
        <v>0</v>
      </c>
      <c r="J88" s="430"/>
      <c r="K88" s="430"/>
      <c r="L88" s="207">
        <f>(F88-J88)*(K88/100)</f>
        <v>0</v>
      </c>
      <c r="M88" s="276">
        <f>SUM(L88,I88)</f>
        <v>0</v>
      </c>
      <c r="N88" s="431"/>
      <c r="O88" s="210">
        <f t="shared" si="3"/>
        <v>0</v>
      </c>
      <c r="P88" s="213" t="s">
        <v>582</v>
      </c>
    </row>
    <row r="89" spans="1:15" ht="18" customHeight="1">
      <c r="A89" s="214"/>
      <c r="B89" s="215" t="s">
        <v>1311</v>
      </c>
      <c r="C89" s="215"/>
      <c r="D89" s="260"/>
      <c r="E89" s="260"/>
      <c r="F89" s="263"/>
      <c r="G89" s="263"/>
      <c r="H89" s="216"/>
      <c r="I89" s="273"/>
      <c r="J89" s="216"/>
      <c r="K89" s="216"/>
      <c r="L89" s="273"/>
      <c r="M89" s="273"/>
      <c r="N89" s="267"/>
      <c r="O89" s="287"/>
    </row>
    <row r="90" spans="1:16" s="200" customFormat="1" ht="36" customHeight="1">
      <c r="A90" s="196"/>
      <c r="B90" s="197" t="s">
        <v>581</v>
      </c>
      <c r="C90" s="197" t="s">
        <v>87</v>
      </c>
      <c r="D90" s="268" t="s">
        <v>87</v>
      </c>
      <c r="E90" s="268" t="s">
        <v>610</v>
      </c>
      <c r="F90" s="198">
        <f>IF(H90=0,0,(F91*H91+F130*H130++F148*H148)/H90)</f>
        <v>0</v>
      </c>
      <c r="G90" s="198">
        <f>IF(H90=0,0,(G91*H91+G130*H130+G148*H148)/H90)</f>
        <v>0</v>
      </c>
      <c r="H90" s="198">
        <f>SUM(H91,H130,H148,H166,H172)</f>
        <v>38.629999999999995</v>
      </c>
      <c r="I90" s="198">
        <f>SUM(I91,I130,I148,I166,I172)</f>
        <v>0</v>
      </c>
      <c r="J90" s="269"/>
      <c r="K90" s="198">
        <f>SUM(K91,K130,K148,K166,K172)</f>
        <v>0</v>
      </c>
      <c r="L90" s="198">
        <f>SUM(L91,L130,L148,L166,L172)</f>
        <v>0</v>
      </c>
      <c r="M90" s="198">
        <f>SUM(M91,M130,M148,M166,M172)</f>
        <v>0</v>
      </c>
      <c r="N90" s="270">
        <f>IF(O90=0,0,((N91*O91)+(N130*O130)+(N148*O148))/O90)</f>
        <v>0</v>
      </c>
      <c r="O90" s="199">
        <f aca="true" t="shared" si="4" ref="O90:O117">SUM(H90,K90)</f>
        <v>38.629999999999995</v>
      </c>
      <c r="P90" s="200" t="s">
        <v>582</v>
      </c>
    </row>
    <row r="91" spans="1:16" s="205" customFormat="1" ht="29.25" customHeight="1">
      <c r="A91" s="201" t="s">
        <v>36</v>
      </c>
      <c r="B91" s="271" t="s">
        <v>1273</v>
      </c>
      <c r="C91" s="202" t="s">
        <v>583</v>
      </c>
      <c r="D91" s="272" t="s">
        <v>87</v>
      </c>
      <c r="E91" s="272" t="s">
        <v>610</v>
      </c>
      <c r="F91" s="273">
        <f>IF(H91=0,0,(F98*H98+F116*H116)/H91)</f>
        <v>0</v>
      </c>
      <c r="G91" s="273">
        <f>IF(H91=0,0,(G98*H98+G116*H116)/H91)</f>
        <v>0</v>
      </c>
      <c r="H91" s="203">
        <f>SUM(H94,H112)</f>
        <v>35.93</v>
      </c>
      <c r="I91" s="203">
        <f>SUM(I94,I112)</f>
        <v>0</v>
      </c>
      <c r="J91" s="273"/>
      <c r="K91" s="203">
        <f>SUM(K94,K112)</f>
        <v>0</v>
      </c>
      <c r="L91" s="203">
        <f>SUM(L94,L112)</f>
        <v>0</v>
      </c>
      <c r="M91" s="203">
        <f>SUM(L91,I91)</f>
        <v>0</v>
      </c>
      <c r="N91" s="274">
        <f>IF(O91=0,0,((N94*O94)+(N112*O112))/O91)</f>
        <v>0</v>
      </c>
      <c r="O91" s="204">
        <f t="shared" si="4"/>
        <v>35.93</v>
      </c>
      <c r="P91" s="205" t="s">
        <v>582</v>
      </c>
    </row>
    <row r="92" spans="1:15" s="205" customFormat="1" ht="29.25" customHeight="1">
      <c r="A92" s="201" t="s">
        <v>90</v>
      </c>
      <c r="B92" s="271" t="s">
        <v>1274</v>
      </c>
      <c r="C92" s="202"/>
      <c r="D92" s="272"/>
      <c r="E92" s="272"/>
      <c r="F92" s="273"/>
      <c r="G92" s="273"/>
      <c r="H92" s="203">
        <f>SUM(H100,H118)</f>
        <v>18.23</v>
      </c>
      <c r="I92" s="203">
        <f>SUM(I100,I118)</f>
        <v>0</v>
      </c>
      <c r="J92" s="273"/>
      <c r="K92" s="203"/>
      <c r="L92" s="203"/>
      <c r="M92" s="203"/>
      <c r="N92" s="274"/>
      <c r="O92" s="204"/>
    </row>
    <row r="93" spans="1:15" s="205" customFormat="1" ht="29.25" customHeight="1">
      <c r="A93" s="201" t="s">
        <v>94</v>
      </c>
      <c r="B93" s="271" t="s">
        <v>1275</v>
      </c>
      <c r="C93" s="202"/>
      <c r="D93" s="272"/>
      <c r="E93" s="272"/>
      <c r="F93" s="273"/>
      <c r="G93" s="273"/>
      <c r="H93" s="203">
        <f>SUM(H106,H124)</f>
        <v>17.7</v>
      </c>
      <c r="I93" s="203">
        <f>SUM(I106,I124)</f>
        <v>0</v>
      </c>
      <c r="J93" s="273"/>
      <c r="K93" s="203"/>
      <c r="L93" s="203"/>
      <c r="M93" s="203"/>
      <c r="N93" s="274"/>
      <c r="O93" s="204"/>
    </row>
    <row r="94" spans="1:16" ht="15.75" customHeight="1">
      <c r="A94" s="206"/>
      <c r="B94" s="585" t="s">
        <v>1276</v>
      </c>
      <c r="C94" s="202" t="s">
        <v>585</v>
      </c>
      <c r="D94" s="260" t="s">
        <v>87</v>
      </c>
      <c r="E94" s="268" t="s">
        <v>610</v>
      </c>
      <c r="F94" s="432"/>
      <c r="G94" s="428"/>
      <c r="H94" s="207">
        <f>SUM(H95:H99)</f>
        <v>5.93</v>
      </c>
      <c r="I94" s="207">
        <f>SUM(I95:I99)</f>
        <v>0</v>
      </c>
      <c r="J94" s="428"/>
      <c r="K94" s="207">
        <f>SUM(K95:K99)</f>
        <v>0</v>
      </c>
      <c r="L94" s="207">
        <f>SUM(L95:L99)</f>
        <v>0</v>
      </c>
      <c r="M94" s="207">
        <f>SUM(M95:M99)</f>
        <v>0</v>
      </c>
      <c r="N94" s="429"/>
      <c r="O94" s="208">
        <f t="shared" si="4"/>
        <v>5.93</v>
      </c>
      <c r="P94" s="189" t="s">
        <v>582</v>
      </c>
    </row>
    <row r="95" spans="1:16" ht="15.75" customHeight="1">
      <c r="A95" s="209"/>
      <c r="B95" s="275" t="s">
        <v>587</v>
      </c>
      <c r="C95" s="202" t="s">
        <v>585</v>
      </c>
      <c r="D95" s="260" t="s">
        <v>28</v>
      </c>
      <c r="E95" s="272" t="s">
        <v>610</v>
      </c>
      <c r="F95" s="433"/>
      <c r="G95" s="430"/>
      <c r="H95" s="430"/>
      <c r="I95" s="207">
        <f>(F95-G95)*(H95/100)</f>
        <v>0</v>
      </c>
      <c r="J95" s="430"/>
      <c r="K95" s="430"/>
      <c r="L95" s="207">
        <f>(F95-J95)*(K95/100)</f>
        <v>0</v>
      </c>
      <c r="M95" s="276">
        <f>SUM(L95,I95)</f>
        <v>0</v>
      </c>
      <c r="N95" s="431"/>
      <c r="O95" s="210">
        <f t="shared" si="4"/>
        <v>0</v>
      </c>
      <c r="P95" s="189" t="s">
        <v>582</v>
      </c>
    </row>
    <row r="96" spans="1:16" ht="15.75" customHeight="1">
      <c r="A96" s="209"/>
      <c r="B96" s="275" t="s">
        <v>589</v>
      </c>
      <c r="C96" s="202" t="s">
        <v>585</v>
      </c>
      <c r="D96" s="260" t="s">
        <v>29</v>
      </c>
      <c r="E96" s="268" t="s">
        <v>610</v>
      </c>
      <c r="F96" s="433"/>
      <c r="G96" s="430"/>
      <c r="H96" s="430"/>
      <c r="I96" s="207">
        <f>(F96-G96)*(H96/100)</f>
        <v>0</v>
      </c>
      <c r="J96" s="430"/>
      <c r="K96" s="430"/>
      <c r="L96" s="207">
        <f>(F96-J96)*(K96/100)</f>
        <v>0</v>
      </c>
      <c r="M96" s="276">
        <f>SUM(L96,I96)</f>
        <v>0</v>
      </c>
      <c r="N96" s="431"/>
      <c r="O96" s="210">
        <f t="shared" si="4"/>
        <v>0</v>
      </c>
      <c r="P96" s="189" t="s">
        <v>582</v>
      </c>
    </row>
    <row r="97" spans="1:16" ht="15.75" customHeight="1">
      <c r="A97" s="209"/>
      <c r="B97" s="275" t="s">
        <v>591</v>
      </c>
      <c r="C97" s="202" t="s">
        <v>585</v>
      </c>
      <c r="D97" s="260" t="s">
        <v>30</v>
      </c>
      <c r="E97" s="272" t="s">
        <v>610</v>
      </c>
      <c r="F97" s="433"/>
      <c r="G97" s="430"/>
      <c r="H97" s="430"/>
      <c r="I97" s="207">
        <f>(F97-G97)*(H97/100)</f>
        <v>0</v>
      </c>
      <c r="J97" s="430"/>
      <c r="K97" s="430"/>
      <c r="L97" s="207">
        <f>(F97-J97)*(K97/100)</f>
        <v>0</v>
      </c>
      <c r="M97" s="276">
        <f>SUM(L97,I97)</f>
        <v>0</v>
      </c>
      <c r="N97" s="431"/>
      <c r="O97" s="210">
        <f t="shared" si="4"/>
        <v>0</v>
      </c>
      <c r="P97" s="189" t="s">
        <v>582</v>
      </c>
    </row>
    <row r="98" spans="1:16" ht="15.75" customHeight="1">
      <c r="A98" s="209"/>
      <c r="B98" s="275" t="s">
        <v>593</v>
      </c>
      <c r="C98" s="202" t="s">
        <v>585</v>
      </c>
      <c r="D98" s="260" t="s">
        <v>31</v>
      </c>
      <c r="E98" s="268" t="s">
        <v>610</v>
      </c>
      <c r="F98" s="433"/>
      <c r="G98" s="430"/>
      <c r="H98" s="430">
        <v>5.93</v>
      </c>
      <c r="I98" s="207">
        <f>(F98-G98)*(H98/100)</f>
        <v>0</v>
      </c>
      <c r="J98" s="430"/>
      <c r="K98" s="430"/>
      <c r="L98" s="207">
        <f>(F98-J98)*(K98/100)</f>
        <v>0</v>
      </c>
      <c r="M98" s="276">
        <f>SUM(L98,I98)</f>
        <v>0</v>
      </c>
      <c r="N98" s="431"/>
      <c r="O98" s="210">
        <f t="shared" si="4"/>
        <v>5.93</v>
      </c>
      <c r="P98" s="189" t="s">
        <v>582</v>
      </c>
    </row>
    <row r="99" spans="1:16" ht="15.75" customHeight="1">
      <c r="A99" s="209"/>
      <c r="B99" s="275" t="s">
        <v>595</v>
      </c>
      <c r="C99" s="202" t="s">
        <v>585</v>
      </c>
      <c r="D99" s="260" t="s">
        <v>596</v>
      </c>
      <c r="E99" s="272" t="s">
        <v>610</v>
      </c>
      <c r="F99" s="433"/>
      <c r="G99" s="430"/>
      <c r="H99" s="430"/>
      <c r="I99" s="207">
        <f>(F99-G99)*(H99/100)</f>
        <v>0</v>
      </c>
      <c r="J99" s="430"/>
      <c r="K99" s="430"/>
      <c r="L99" s="207">
        <f>(F99-J99)*(K99/100)</f>
        <v>0</v>
      </c>
      <c r="M99" s="276">
        <f>SUM(L99,I99)</f>
        <v>0</v>
      </c>
      <c r="N99" s="429"/>
      <c r="O99" s="210">
        <f t="shared" si="4"/>
        <v>0</v>
      </c>
      <c r="P99" s="189" t="s">
        <v>582</v>
      </c>
    </row>
    <row r="100" spans="1:15" ht="26.25" customHeight="1">
      <c r="A100" s="206"/>
      <c r="B100" s="585" t="s">
        <v>1277</v>
      </c>
      <c r="C100" s="202"/>
      <c r="D100" s="260"/>
      <c r="E100" s="268"/>
      <c r="F100" s="432"/>
      <c r="G100" s="428"/>
      <c r="H100" s="207">
        <f>SUM(H101:H105)</f>
        <v>3.03</v>
      </c>
      <c r="I100" s="207">
        <f>SUM(I101:I105)</f>
        <v>0</v>
      </c>
      <c r="J100" s="428"/>
      <c r="K100" s="207"/>
      <c r="L100" s="207"/>
      <c r="M100" s="207"/>
      <c r="N100" s="429"/>
      <c r="O100" s="208"/>
    </row>
    <row r="101" spans="1:16" ht="15.75" customHeight="1">
      <c r="A101" s="209"/>
      <c r="B101" s="275" t="s">
        <v>587</v>
      </c>
      <c r="C101" s="202" t="s">
        <v>585</v>
      </c>
      <c r="D101" s="260" t="s">
        <v>28</v>
      </c>
      <c r="E101" s="272" t="s">
        <v>610</v>
      </c>
      <c r="F101" s="433"/>
      <c r="G101" s="430"/>
      <c r="H101" s="430"/>
      <c r="I101" s="207">
        <f>(F101-G101)*(H101/100)</f>
        <v>0</v>
      </c>
      <c r="J101" s="430"/>
      <c r="K101" s="430"/>
      <c r="L101" s="207">
        <f>(F101-J101)*(K101/100)</f>
        <v>0</v>
      </c>
      <c r="M101" s="276">
        <f>SUM(L101,I101)</f>
        <v>0</v>
      </c>
      <c r="N101" s="431"/>
      <c r="O101" s="210">
        <f>SUM(H101,K101)</f>
        <v>0</v>
      </c>
      <c r="P101" s="189" t="s">
        <v>582</v>
      </c>
    </row>
    <row r="102" spans="1:16" ht="15.75" customHeight="1">
      <c r="A102" s="209"/>
      <c r="B102" s="275" t="s">
        <v>589</v>
      </c>
      <c r="C102" s="202" t="s">
        <v>585</v>
      </c>
      <c r="D102" s="260" t="s">
        <v>29</v>
      </c>
      <c r="E102" s="268" t="s">
        <v>610</v>
      </c>
      <c r="F102" s="433"/>
      <c r="G102" s="430"/>
      <c r="H102" s="430"/>
      <c r="I102" s="207">
        <f>(F102-G102)*(H102/100)</f>
        <v>0</v>
      </c>
      <c r="J102" s="430"/>
      <c r="K102" s="430"/>
      <c r="L102" s="207">
        <f>(F102-J102)*(K102/100)</f>
        <v>0</v>
      </c>
      <c r="M102" s="276">
        <f>SUM(L102,I102)</f>
        <v>0</v>
      </c>
      <c r="N102" s="431"/>
      <c r="O102" s="210">
        <f>SUM(H102,K102)</f>
        <v>0</v>
      </c>
      <c r="P102" s="189" t="s">
        <v>582</v>
      </c>
    </row>
    <row r="103" spans="1:16" ht="15.75" customHeight="1">
      <c r="A103" s="209"/>
      <c r="B103" s="275" t="s">
        <v>591</v>
      </c>
      <c r="C103" s="202" t="s">
        <v>585</v>
      </c>
      <c r="D103" s="260" t="s">
        <v>30</v>
      </c>
      <c r="E103" s="272" t="s">
        <v>610</v>
      </c>
      <c r="F103" s="433"/>
      <c r="G103" s="430"/>
      <c r="H103" s="430"/>
      <c r="I103" s="207">
        <f>(F103-G103)*(H103/100)</f>
        <v>0</v>
      </c>
      <c r="J103" s="430"/>
      <c r="K103" s="430"/>
      <c r="L103" s="207">
        <f>(F103-J103)*(K103/100)</f>
        <v>0</v>
      </c>
      <c r="M103" s="276">
        <f>SUM(L103,I103)</f>
        <v>0</v>
      </c>
      <c r="N103" s="431"/>
      <c r="O103" s="210">
        <f>SUM(H103,K103)</f>
        <v>0</v>
      </c>
      <c r="P103" s="189" t="s">
        <v>582</v>
      </c>
    </row>
    <row r="104" spans="1:16" ht="15.75" customHeight="1">
      <c r="A104" s="209"/>
      <c r="B104" s="275" t="s">
        <v>593</v>
      </c>
      <c r="C104" s="202" t="s">
        <v>585</v>
      </c>
      <c r="D104" s="260" t="s">
        <v>31</v>
      </c>
      <c r="E104" s="268" t="s">
        <v>610</v>
      </c>
      <c r="F104" s="433"/>
      <c r="G104" s="430"/>
      <c r="H104" s="430">
        <v>3.03</v>
      </c>
      <c r="I104" s="207">
        <f>(F104-G104)*(H104/100)</f>
        <v>0</v>
      </c>
      <c r="J104" s="430"/>
      <c r="K104" s="430"/>
      <c r="L104" s="207">
        <f>(F104-J104)*(K104/100)</f>
        <v>0</v>
      </c>
      <c r="M104" s="276">
        <f>SUM(L104,I104)</f>
        <v>0</v>
      </c>
      <c r="N104" s="431"/>
      <c r="O104" s="210">
        <f>SUM(H104,K104)</f>
        <v>3.03</v>
      </c>
      <c r="P104" s="189" t="s">
        <v>582</v>
      </c>
    </row>
    <row r="105" spans="1:16" ht="15.75" customHeight="1">
      <c r="A105" s="209"/>
      <c r="B105" s="275" t="s">
        <v>595</v>
      </c>
      <c r="C105" s="202" t="s">
        <v>585</v>
      </c>
      <c r="D105" s="260" t="s">
        <v>596</v>
      </c>
      <c r="E105" s="272" t="s">
        <v>610</v>
      </c>
      <c r="F105" s="433"/>
      <c r="G105" s="430"/>
      <c r="H105" s="430"/>
      <c r="I105" s="207">
        <f>(F105-G105)*(H105/100)</f>
        <v>0</v>
      </c>
      <c r="J105" s="430"/>
      <c r="K105" s="430"/>
      <c r="L105" s="207">
        <f>(F105-J105)*(K105/100)</f>
        <v>0</v>
      </c>
      <c r="M105" s="276">
        <f>SUM(L105,I105)</f>
        <v>0</v>
      </c>
      <c r="N105" s="429"/>
      <c r="O105" s="210">
        <f>SUM(H105,K105)</f>
        <v>0</v>
      </c>
      <c r="P105" s="189" t="s">
        <v>582</v>
      </c>
    </row>
    <row r="106" spans="1:15" ht="25.5" customHeight="1">
      <c r="A106" s="206"/>
      <c r="B106" s="585" t="s">
        <v>1278</v>
      </c>
      <c r="C106" s="202"/>
      <c r="D106" s="260"/>
      <c r="E106" s="268"/>
      <c r="F106" s="432"/>
      <c r="G106" s="428"/>
      <c r="H106" s="207">
        <f>SUM(H107:H111)</f>
        <v>2.9</v>
      </c>
      <c r="I106" s="207">
        <f>SUM(I107:I111)</f>
        <v>0</v>
      </c>
      <c r="J106" s="428"/>
      <c r="K106" s="207"/>
      <c r="L106" s="207"/>
      <c r="M106" s="207"/>
      <c r="N106" s="429"/>
      <c r="O106" s="208"/>
    </row>
    <row r="107" spans="1:16" ht="15.75" customHeight="1">
      <c r="A107" s="209"/>
      <c r="B107" s="275" t="s">
        <v>587</v>
      </c>
      <c r="C107" s="202" t="s">
        <v>585</v>
      </c>
      <c r="D107" s="260" t="s">
        <v>28</v>
      </c>
      <c r="E107" s="272" t="s">
        <v>610</v>
      </c>
      <c r="F107" s="433"/>
      <c r="G107" s="430"/>
      <c r="H107" s="430"/>
      <c r="I107" s="207">
        <f>(F107-G107)*(H107/100)</f>
        <v>0</v>
      </c>
      <c r="J107" s="430"/>
      <c r="K107" s="430"/>
      <c r="L107" s="207">
        <f>(F107-J107)*(K107/100)</f>
        <v>0</v>
      </c>
      <c r="M107" s="276">
        <f>SUM(L107,I107)</f>
        <v>0</v>
      </c>
      <c r="N107" s="431"/>
      <c r="O107" s="210">
        <f>SUM(H107,K107)</f>
        <v>0</v>
      </c>
      <c r="P107" s="189" t="s">
        <v>582</v>
      </c>
    </row>
    <row r="108" spans="1:16" ht="15.75" customHeight="1">
      <c r="A108" s="209"/>
      <c r="B108" s="275" t="s">
        <v>589</v>
      </c>
      <c r="C108" s="202" t="s">
        <v>585</v>
      </c>
      <c r="D108" s="260" t="s">
        <v>29</v>
      </c>
      <c r="E108" s="268" t="s">
        <v>610</v>
      </c>
      <c r="F108" s="433"/>
      <c r="G108" s="430"/>
      <c r="H108" s="430"/>
      <c r="I108" s="207">
        <f>(F108-G108)*(H108/100)</f>
        <v>0</v>
      </c>
      <c r="J108" s="430"/>
      <c r="K108" s="430"/>
      <c r="L108" s="207">
        <f>(F108-J108)*(K108/100)</f>
        <v>0</v>
      </c>
      <c r="M108" s="276">
        <f>SUM(L108,I108)</f>
        <v>0</v>
      </c>
      <c r="N108" s="431"/>
      <c r="O108" s="210">
        <f>SUM(H108,K108)</f>
        <v>0</v>
      </c>
      <c r="P108" s="189" t="s">
        <v>582</v>
      </c>
    </row>
    <row r="109" spans="1:16" ht="15.75" customHeight="1">
      <c r="A109" s="209"/>
      <c r="B109" s="275" t="s">
        <v>591</v>
      </c>
      <c r="C109" s="202" t="s">
        <v>585</v>
      </c>
      <c r="D109" s="260" t="s">
        <v>30</v>
      </c>
      <c r="E109" s="272" t="s">
        <v>610</v>
      </c>
      <c r="F109" s="433"/>
      <c r="G109" s="430"/>
      <c r="H109" s="430"/>
      <c r="I109" s="207">
        <f>(F109-G109)*(H109/100)</f>
        <v>0</v>
      </c>
      <c r="J109" s="430"/>
      <c r="K109" s="430"/>
      <c r="L109" s="207">
        <f>(F109-J109)*(K109/100)</f>
        <v>0</v>
      </c>
      <c r="M109" s="276">
        <f>SUM(L109,I109)</f>
        <v>0</v>
      </c>
      <c r="N109" s="431"/>
      <c r="O109" s="210">
        <f>SUM(H109,K109)</f>
        <v>0</v>
      </c>
      <c r="P109" s="189" t="s">
        <v>582</v>
      </c>
    </row>
    <row r="110" spans="1:16" ht="15.75" customHeight="1">
      <c r="A110" s="209"/>
      <c r="B110" s="275" t="s">
        <v>593</v>
      </c>
      <c r="C110" s="202" t="s">
        <v>585</v>
      </c>
      <c r="D110" s="260" t="s">
        <v>31</v>
      </c>
      <c r="E110" s="268" t="s">
        <v>610</v>
      </c>
      <c r="F110" s="433"/>
      <c r="G110" s="430"/>
      <c r="H110" s="430">
        <v>2.9</v>
      </c>
      <c r="I110" s="207">
        <f>(F110-G110)*(H110/100)</f>
        <v>0</v>
      </c>
      <c r="J110" s="430"/>
      <c r="K110" s="430"/>
      <c r="L110" s="207">
        <f>(F110-J110)*(K110/100)</f>
        <v>0</v>
      </c>
      <c r="M110" s="276">
        <f>SUM(L110,I110)</f>
        <v>0</v>
      </c>
      <c r="N110" s="431"/>
      <c r="O110" s="210">
        <f>SUM(H110,K110)</f>
        <v>2.9</v>
      </c>
      <c r="P110" s="189" t="s">
        <v>582</v>
      </c>
    </row>
    <row r="111" spans="1:16" ht="15.75" customHeight="1">
      <c r="A111" s="209"/>
      <c r="B111" s="275" t="s">
        <v>595</v>
      </c>
      <c r="C111" s="202" t="s">
        <v>585</v>
      </c>
      <c r="D111" s="260" t="s">
        <v>596</v>
      </c>
      <c r="E111" s="272" t="s">
        <v>610</v>
      </c>
      <c r="F111" s="433"/>
      <c r="G111" s="430"/>
      <c r="H111" s="430"/>
      <c r="I111" s="207">
        <f>(F111-G111)*(H111/100)</f>
        <v>0</v>
      </c>
      <c r="J111" s="430"/>
      <c r="K111" s="430"/>
      <c r="L111" s="207">
        <f>(F111-J111)*(K111/100)</f>
        <v>0</v>
      </c>
      <c r="M111" s="276">
        <f>SUM(L111,I111)</f>
        <v>0</v>
      </c>
      <c r="N111" s="429"/>
      <c r="O111" s="210">
        <f>SUM(H111,K111)</f>
        <v>0</v>
      </c>
      <c r="P111" s="189" t="s">
        <v>582</v>
      </c>
    </row>
    <row r="112" spans="1:16" ht="15.75" customHeight="1">
      <c r="A112" s="211"/>
      <c r="B112" s="585" t="s">
        <v>1279</v>
      </c>
      <c r="C112" s="202" t="s">
        <v>598</v>
      </c>
      <c r="D112" s="260" t="s">
        <v>87</v>
      </c>
      <c r="E112" s="268" t="s">
        <v>610</v>
      </c>
      <c r="F112" s="432"/>
      <c r="G112" s="428"/>
      <c r="H112" s="207">
        <f>SUM(H113:H117)</f>
        <v>30</v>
      </c>
      <c r="I112" s="207">
        <f>SUM(I113:I117)</f>
        <v>0</v>
      </c>
      <c r="J112" s="428"/>
      <c r="K112" s="207">
        <f>SUM(K113:K117)</f>
        <v>0</v>
      </c>
      <c r="L112" s="207">
        <f>SUM(L113:L117)</f>
        <v>0</v>
      </c>
      <c r="M112" s="207">
        <f>SUM(M113:M117)</f>
        <v>0</v>
      </c>
      <c r="N112" s="429"/>
      <c r="O112" s="208">
        <f t="shared" si="4"/>
        <v>30</v>
      </c>
      <c r="P112" s="189" t="s">
        <v>582</v>
      </c>
    </row>
    <row r="113" spans="1:16" ht="15.75" customHeight="1">
      <c r="A113" s="212"/>
      <c r="B113" s="275" t="s">
        <v>587</v>
      </c>
      <c r="C113" s="202" t="s">
        <v>598</v>
      </c>
      <c r="D113" s="260" t="s">
        <v>28</v>
      </c>
      <c r="E113" s="272" t="s">
        <v>610</v>
      </c>
      <c r="F113" s="433"/>
      <c r="G113" s="430"/>
      <c r="H113" s="430"/>
      <c r="I113" s="207">
        <f>(F113-G113)*(H113/100)</f>
        <v>0</v>
      </c>
      <c r="J113" s="430"/>
      <c r="K113" s="430"/>
      <c r="L113" s="207">
        <f>(F113-J113)*(K113/100)</f>
        <v>0</v>
      </c>
      <c r="M113" s="276">
        <f>SUM(L113,I113)</f>
        <v>0</v>
      </c>
      <c r="N113" s="431"/>
      <c r="O113" s="210">
        <f t="shared" si="4"/>
        <v>0</v>
      </c>
      <c r="P113" s="189" t="s">
        <v>582</v>
      </c>
    </row>
    <row r="114" spans="1:16" ht="15.75" customHeight="1">
      <c r="A114" s="212"/>
      <c r="B114" s="275" t="s">
        <v>589</v>
      </c>
      <c r="C114" s="202" t="s">
        <v>598</v>
      </c>
      <c r="D114" s="260" t="s">
        <v>29</v>
      </c>
      <c r="E114" s="268" t="s">
        <v>610</v>
      </c>
      <c r="F114" s="433"/>
      <c r="G114" s="430"/>
      <c r="H114" s="430"/>
      <c r="I114" s="207">
        <f>(F114-G114)*(H114/100)</f>
        <v>0</v>
      </c>
      <c r="J114" s="430"/>
      <c r="K114" s="430"/>
      <c r="L114" s="207">
        <f>(F114-J114)*(K114/100)</f>
        <v>0</v>
      </c>
      <c r="M114" s="276">
        <f>SUM(L114,I114)</f>
        <v>0</v>
      </c>
      <c r="N114" s="431"/>
      <c r="O114" s="210">
        <f t="shared" si="4"/>
        <v>0</v>
      </c>
      <c r="P114" s="189" t="s">
        <v>582</v>
      </c>
    </row>
    <row r="115" spans="1:16" ht="15.75" customHeight="1">
      <c r="A115" s="212"/>
      <c r="B115" s="275" t="s">
        <v>591</v>
      </c>
      <c r="C115" s="202" t="s">
        <v>598</v>
      </c>
      <c r="D115" s="260" t="s">
        <v>30</v>
      </c>
      <c r="E115" s="272" t="s">
        <v>610</v>
      </c>
      <c r="F115" s="433"/>
      <c r="G115" s="430"/>
      <c r="H115" s="430"/>
      <c r="I115" s="207">
        <f>(F115-G115)*(H115/100)</f>
        <v>0</v>
      </c>
      <c r="J115" s="430"/>
      <c r="K115" s="430"/>
      <c r="L115" s="207">
        <f>(F115-J115)*(K115/100)</f>
        <v>0</v>
      </c>
      <c r="M115" s="276">
        <f>SUM(L115,I115)</f>
        <v>0</v>
      </c>
      <c r="N115" s="431"/>
      <c r="O115" s="210">
        <f t="shared" si="4"/>
        <v>0</v>
      </c>
      <c r="P115" s="189" t="s">
        <v>582</v>
      </c>
    </row>
    <row r="116" spans="1:16" ht="15.75" customHeight="1">
      <c r="A116" s="212"/>
      <c r="B116" s="275" t="s">
        <v>593</v>
      </c>
      <c r="C116" s="202" t="s">
        <v>598</v>
      </c>
      <c r="D116" s="260" t="s">
        <v>31</v>
      </c>
      <c r="E116" s="268" t="s">
        <v>610</v>
      </c>
      <c r="F116" s="433"/>
      <c r="G116" s="430"/>
      <c r="H116" s="430">
        <v>30</v>
      </c>
      <c r="I116" s="207">
        <f>(F116-G116)*(H116/100)</f>
        <v>0</v>
      </c>
      <c r="J116" s="430"/>
      <c r="K116" s="430"/>
      <c r="L116" s="207">
        <f>(F116-J116)*(K116/100)</f>
        <v>0</v>
      </c>
      <c r="M116" s="276">
        <f>SUM(L116,I116)</f>
        <v>0</v>
      </c>
      <c r="N116" s="431"/>
      <c r="O116" s="210">
        <f t="shared" si="4"/>
        <v>30</v>
      </c>
      <c r="P116" s="189" t="s">
        <v>582</v>
      </c>
    </row>
    <row r="117" spans="1:16" ht="15.75" customHeight="1">
      <c r="A117" s="212"/>
      <c r="B117" s="275" t="s">
        <v>595</v>
      </c>
      <c r="C117" s="202" t="s">
        <v>598</v>
      </c>
      <c r="D117" s="260" t="s">
        <v>596</v>
      </c>
      <c r="E117" s="272" t="s">
        <v>610</v>
      </c>
      <c r="F117" s="433"/>
      <c r="G117" s="430"/>
      <c r="H117" s="430"/>
      <c r="I117" s="207">
        <f>(F117-G117)*(H117/100)</f>
        <v>0</v>
      </c>
      <c r="J117" s="430"/>
      <c r="K117" s="430"/>
      <c r="L117" s="207">
        <f>(F117-J117)*(K117/100)</f>
        <v>0</v>
      </c>
      <c r="M117" s="276">
        <f>SUM(L117,I117)</f>
        <v>0</v>
      </c>
      <c r="N117" s="431"/>
      <c r="O117" s="210">
        <f t="shared" si="4"/>
        <v>0</v>
      </c>
      <c r="P117" s="189" t="s">
        <v>582</v>
      </c>
    </row>
    <row r="118" spans="1:16" ht="24.75" customHeight="1">
      <c r="A118" s="211"/>
      <c r="B118" s="585" t="s">
        <v>1280</v>
      </c>
      <c r="C118" s="202" t="s">
        <v>598</v>
      </c>
      <c r="D118" s="260" t="s">
        <v>87</v>
      </c>
      <c r="E118" s="268" t="s">
        <v>610</v>
      </c>
      <c r="F118" s="432"/>
      <c r="G118" s="428"/>
      <c r="H118" s="207">
        <f>SUM(H119:H123)</f>
        <v>15.2</v>
      </c>
      <c r="I118" s="207">
        <f>SUM(I119:I123)</f>
        <v>0</v>
      </c>
      <c r="J118" s="428"/>
      <c r="K118" s="207">
        <f>SUM(K119:K123)</f>
        <v>0</v>
      </c>
      <c r="L118" s="207">
        <f>SUM(L119:L123)</f>
        <v>0</v>
      </c>
      <c r="M118" s="207">
        <f>SUM(M119:M123)</f>
        <v>0</v>
      </c>
      <c r="N118" s="429"/>
      <c r="O118" s="208">
        <f aca="true" t="shared" si="5" ref="O118:O123">SUM(H118,K118)</f>
        <v>15.2</v>
      </c>
      <c r="P118" s="189" t="s">
        <v>582</v>
      </c>
    </row>
    <row r="119" spans="1:16" ht="15.75" customHeight="1">
      <c r="A119" s="212"/>
      <c r="B119" s="275" t="s">
        <v>587</v>
      </c>
      <c r="C119" s="202" t="s">
        <v>598</v>
      </c>
      <c r="D119" s="260" t="s">
        <v>28</v>
      </c>
      <c r="E119" s="272" t="s">
        <v>610</v>
      </c>
      <c r="F119" s="433"/>
      <c r="G119" s="430"/>
      <c r="H119" s="430"/>
      <c r="I119" s="207">
        <f>(F119-G119)*(H119/100)</f>
        <v>0</v>
      </c>
      <c r="J119" s="430"/>
      <c r="K119" s="430"/>
      <c r="L119" s="207">
        <f>(F119-J119)*(K119/100)</f>
        <v>0</v>
      </c>
      <c r="M119" s="276">
        <f>SUM(L119,I119)</f>
        <v>0</v>
      </c>
      <c r="N119" s="431"/>
      <c r="O119" s="210">
        <f t="shared" si="5"/>
        <v>0</v>
      </c>
      <c r="P119" s="189" t="s">
        <v>582</v>
      </c>
    </row>
    <row r="120" spans="1:16" ht="15.75" customHeight="1">
      <c r="A120" s="212"/>
      <c r="B120" s="275" t="s">
        <v>589</v>
      </c>
      <c r="C120" s="202" t="s">
        <v>598</v>
      </c>
      <c r="D120" s="260" t="s">
        <v>29</v>
      </c>
      <c r="E120" s="268" t="s">
        <v>610</v>
      </c>
      <c r="F120" s="433"/>
      <c r="G120" s="430"/>
      <c r="H120" s="430"/>
      <c r="I120" s="207">
        <f>(F120-G120)*(H120/100)</f>
        <v>0</v>
      </c>
      <c r="J120" s="430"/>
      <c r="K120" s="430"/>
      <c r="L120" s="207">
        <f>(F120-J120)*(K120/100)</f>
        <v>0</v>
      </c>
      <c r="M120" s="276">
        <f>SUM(L120,I120)</f>
        <v>0</v>
      </c>
      <c r="N120" s="431"/>
      <c r="O120" s="210">
        <f t="shared" si="5"/>
        <v>0</v>
      </c>
      <c r="P120" s="189" t="s">
        <v>582</v>
      </c>
    </row>
    <row r="121" spans="1:16" ht="15.75" customHeight="1">
      <c r="A121" s="212"/>
      <c r="B121" s="275" t="s">
        <v>591</v>
      </c>
      <c r="C121" s="202" t="s">
        <v>598</v>
      </c>
      <c r="D121" s="260" t="s">
        <v>30</v>
      </c>
      <c r="E121" s="272" t="s">
        <v>610</v>
      </c>
      <c r="F121" s="433"/>
      <c r="G121" s="430"/>
      <c r="H121" s="430"/>
      <c r="I121" s="207">
        <f>(F121-G121)*(H121/100)</f>
        <v>0</v>
      </c>
      <c r="J121" s="430"/>
      <c r="K121" s="430"/>
      <c r="L121" s="207">
        <f>(F121-J121)*(K121/100)</f>
        <v>0</v>
      </c>
      <c r="M121" s="276">
        <f>SUM(L121,I121)</f>
        <v>0</v>
      </c>
      <c r="N121" s="431"/>
      <c r="O121" s="210">
        <f t="shared" si="5"/>
        <v>0</v>
      </c>
      <c r="P121" s="189" t="s">
        <v>582</v>
      </c>
    </row>
    <row r="122" spans="1:16" ht="15.75" customHeight="1">
      <c r="A122" s="212"/>
      <c r="B122" s="275" t="s">
        <v>593</v>
      </c>
      <c r="C122" s="202" t="s">
        <v>598</v>
      </c>
      <c r="D122" s="260" t="s">
        <v>31</v>
      </c>
      <c r="E122" s="268" t="s">
        <v>610</v>
      </c>
      <c r="F122" s="433"/>
      <c r="G122" s="430"/>
      <c r="H122" s="430">
        <v>15.2</v>
      </c>
      <c r="I122" s="207">
        <f>(F122-G122)*(H122/100)</f>
        <v>0</v>
      </c>
      <c r="J122" s="430"/>
      <c r="K122" s="430"/>
      <c r="L122" s="207">
        <f>(F122-J122)*(K122/100)</f>
        <v>0</v>
      </c>
      <c r="M122" s="276">
        <f>SUM(L122,I122)</f>
        <v>0</v>
      </c>
      <c r="N122" s="431"/>
      <c r="O122" s="210">
        <f t="shared" si="5"/>
        <v>15.2</v>
      </c>
      <c r="P122" s="189" t="s">
        <v>582</v>
      </c>
    </row>
    <row r="123" spans="1:16" ht="15.75" customHeight="1">
      <c r="A123" s="212"/>
      <c r="B123" s="275" t="s">
        <v>595</v>
      </c>
      <c r="C123" s="202" t="s">
        <v>598</v>
      </c>
      <c r="D123" s="260" t="s">
        <v>596</v>
      </c>
      <c r="E123" s="272" t="s">
        <v>610</v>
      </c>
      <c r="F123" s="433"/>
      <c r="G123" s="430"/>
      <c r="H123" s="430"/>
      <c r="I123" s="207">
        <f>(F123-G123)*(H123/100)</f>
        <v>0</v>
      </c>
      <c r="J123" s="430"/>
      <c r="K123" s="430"/>
      <c r="L123" s="207">
        <f>(F123-J123)*(K123/100)</f>
        <v>0</v>
      </c>
      <c r="M123" s="276">
        <f>SUM(L123,I123)</f>
        <v>0</v>
      </c>
      <c r="N123" s="431"/>
      <c r="O123" s="210">
        <f t="shared" si="5"/>
        <v>0</v>
      </c>
      <c r="P123" s="189" t="s">
        <v>582</v>
      </c>
    </row>
    <row r="124" spans="1:16" ht="24.75" customHeight="1">
      <c r="A124" s="211"/>
      <c r="B124" s="585" t="s">
        <v>1281</v>
      </c>
      <c r="C124" s="202" t="s">
        <v>598</v>
      </c>
      <c r="D124" s="260" t="s">
        <v>87</v>
      </c>
      <c r="E124" s="268" t="s">
        <v>610</v>
      </c>
      <c r="F124" s="432"/>
      <c r="G124" s="428"/>
      <c r="H124" s="207">
        <f>SUM(H125:H129)</f>
        <v>14.8</v>
      </c>
      <c r="I124" s="207">
        <f>SUM(I125:I129)</f>
        <v>0</v>
      </c>
      <c r="J124" s="428"/>
      <c r="K124" s="207">
        <f>SUM(K125:K129)</f>
        <v>0</v>
      </c>
      <c r="L124" s="207">
        <f>SUM(L125:L129)</f>
        <v>0</v>
      </c>
      <c r="M124" s="207">
        <f>SUM(M125:M129)</f>
        <v>0</v>
      </c>
      <c r="N124" s="429"/>
      <c r="O124" s="208">
        <f aca="true" t="shared" si="6" ref="O124:O129">SUM(H124,K124)</f>
        <v>14.8</v>
      </c>
      <c r="P124" s="189" t="s">
        <v>582</v>
      </c>
    </row>
    <row r="125" spans="1:16" ht="15.75" customHeight="1">
      <c r="A125" s="212"/>
      <c r="B125" s="275" t="s">
        <v>587</v>
      </c>
      <c r="C125" s="202" t="s">
        <v>598</v>
      </c>
      <c r="D125" s="260" t="s">
        <v>28</v>
      </c>
      <c r="E125" s="272" t="s">
        <v>610</v>
      </c>
      <c r="F125" s="433"/>
      <c r="G125" s="430"/>
      <c r="H125" s="430"/>
      <c r="I125" s="207">
        <f>(F125-G125)*(H125/100)</f>
        <v>0</v>
      </c>
      <c r="J125" s="430"/>
      <c r="K125" s="430"/>
      <c r="L125" s="207">
        <f>(F125-J125)*(K125/100)</f>
        <v>0</v>
      </c>
      <c r="M125" s="276">
        <f>SUM(L125,I125)</f>
        <v>0</v>
      </c>
      <c r="N125" s="431"/>
      <c r="O125" s="210">
        <f t="shared" si="6"/>
        <v>0</v>
      </c>
      <c r="P125" s="189" t="s">
        <v>582</v>
      </c>
    </row>
    <row r="126" spans="1:16" ht="15.75" customHeight="1">
      <c r="A126" s="212"/>
      <c r="B126" s="275" t="s">
        <v>589</v>
      </c>
      <c r="C126" s="202" t="s">
        <v>598</v>
      </c>
      <c r="D126" s="260" t="s">
        <v>29</v>
      </c>
      <c r="E126" s="268" t="s">
        <v>610</v>
      </c>
      <c r="F126" s="433"/>
      <c r="G126" s="430"/>
      <c r="H126" s="430"/>
      <c r="I126" s="207">
        <f>(F126-G126)*(H126/100)</f>
        <v>0</v>
      </c>
      <c r="J126" s="430"/>
      <c r="K126" s="430"/>
      <c r="L126" s="207">
        <f>(F126-J126)*(K126/100)</f>
        <v>0</v>
      </c>
      <c r="M126" s="276">
        <f>SUM(L126,I126)</f>
        <v>0</v>
      </c>
      <c r="N126" s="431"/>
      <c r="O126" s="210">
        <f t="shared" si="6"/>
        <v>0</v>
      </c>
      <c r="P126" s="189" t="s">
        <v>582</v>
      </c>
    </row>
    <row r="127" spans="1:16" ht="15.75" customHeight="1">
      <c r="A127" s="212"/>
      <c r="B127" s="275" t="s">
        <v>591</v>
      </c>
      <c r="C127" s="202" t="s">
        <v>598</v>
      </c>
      <c r="D127" s="260" t="s">
        <v>30</v>
      </c>
      <c r="E127" s="272" t="s">
        <v>610</v>
      </c>
      <c r="F127" s="433"/>
      <c r="G127" s="430"/>
      <c r="H127" s="430"/>
      <c r="I127" s="207">
        <f>(F127-G127)*(H127/100)</f>
        <v>0</v>
      </c>
      <c r="J127" s="430"/>
      <c r="K127" s="430"/>
      <c r="L127" s="207">
        <f>(F127-J127)*(K127/100)</f>
        <v>0</v>
      </c>
      <c r="M127" s="276">
        <f>SUM(L127,I127)</f>
        <v>0</v>
      </c>
      <c r="N127" s="431"/>
      <c r="O127" s="210">
        <f t="shared" si="6"/>
        <v>0</v>
      </c>
      <c r="P127" s="189" t="s">
        <v>582</v>
      </c>
    </row>
    <row r="128" spans="1:16" ht="15.75" customHeight="1">
      <c r="A128" s="212"/>
      <c r="B128" s="275" t="s">
        <v>593</v>
      </c>
      <c r="C128" s="202" t="s">
        <v>598</v>
      </c>
      <c r="D128" s="260" t="s">
        <v>31</v>
      </c>
      <c r="E128" s="268" t="s">
        <v>610</v>
      </c>
      <c r="F128" s="433"/>
      <c r="G128" s="430"/>
      <c r="H128" s="430">
        <v>14.8</v>
      </c>
      <c r="I128" s="207">
        <f>(F128-G128)*(H128/100)</f>
        <v>0</v>
      </c>
      <c r="J128" s="430"/>
      <c r="K128" s="430"/>
      <c r="L128" s="207">
        <f>(F128-J128)*(K128/100)</f>
        <v>0</v>
      </c>
      <c r="M128" s="276">
        <f>SUM(L128,I128)</f>
        <v>0</v>
      </c>
      <c r="N128" s="431"/>
      <c r="O128" s="210">
        <f t="shared" si="6"/>
        <v>14.8</v>
      </c>
      <c r="P128" s="189" t="s">
        <v>582</v>
      </c>
    </row>
    <row r="129" spans="1:16" ht="15.75" customHeight="1">
      <c r="A129" s="212"/>
      <c r="B129" s="275" t="s">
        <v>595</v>
      </c>
      <c r="C129" s="202" t="s">
        <v>598</v>
      </c>
      <c r="D129" s="260" t="s">
        <v>596</v>
      </c>
      <c r="E129" s="272" t="s">
        <v>610</v>
      </c>
      <c r="F129" s="433"/>
      <c r="G129" s="430"/>
      <c r="H129" s="430"/>
      <c r="I129" s="207">
        <f>(F129-G129)*(H129/100)</f>
        <v>0</v>
      </c>
      <c r="J129" s="430"/>
      <c r="K129" s="430"/>
      <c r="L129" s="207">
        <f>(F129-J129)*(K129/100)</f>
        <v>0</v>
      </c>
      <c r="M129" s="276">
        <f>SUM(L129,I129)</f>
        <v>0</v>
      </c>
      <c r="N129" s="431"/>
      <c r="O129" s="210">
        <f t="shared" si="6"/>
        <v>0</v>
      </c>
      <c r="P129" s="189" t="s">
        <v>582</v>
      </c>
    </row>
    <row r="130" spans="1:16" s="205" customFormat="1" ht="26.25" customHeight="1">
      <c r="A130" s="201" t="s">
        <v>69</v>
      </c>
      <c r="B130" s="271" t="s">
        <v>1282</v>
      </c>
      <c r="C130" s="202" t="s">
        <v>604</v>
      </c>
      <c r="D130" s="272" t="s">
        <v>87</v>
      </c>
      <c r="E130" s="268" t="s">
        <v>610</v>
      </c>
      <c r="F130" s="273"/>
      <c r="G130" s="273"/>
      <c r="H130" s="203">
        <f>SUM(H131:H135)</f>
        <v>1.4</v>
      </c>
      <c r="I130" s="203">
        <f>SUM(I131:I135)</f>
        <v>0</v>
      </c>
      <c r="J130" s="273"/>
      <c r="K130" s="203">
        <f>SUM(K131:K135)</f>
        <v>0</v>
      </c>
      <c r="L130" s="203">
        <f>SUM(L131:L135)</f>
        <v>0</v>
      </c>
      <c r="M130" s="203">
        <f>SUM(M131:M135)</f>
        <v>0</v>
      </c>
      <c r="N130" s="274">
        <f>IF(O130=0,0,((N131*O131)+(N132*O132)+(N133*O133)+(N134*O134)+(N135*O135))/O130)</f>
        <v>0</v>
      </c>
      <c r="O130" s="204">
        <f>SUM(H116,K116)</f>
        <v>30</v>
      </c>
      <c r="P130" s="205" t="s">
        <v>582</v>
      </c>
    </row>
    <row r="131" spans="1:16" ht="15.75" customHeight="1">
      <c r="A131" s="212"/>
      <c r="B131" s="275" t="s">
        <v>587</v>
      </c>
      <c r="C131" s="202" t="s">
        <v>604</v>
      </c>
      <c r="D131" s="260" t="s">
        <v>28</v>
      </c>
      <c r="E131" s="272" t="s">
        <v>610</v>
      </c>
      <c r="F131" s="433"/>
      <c r="G131" s="430"/>
      <c r="H131" s="430"/>
      <c r="I131" s="207">
        <f>(F131-G131)*(H131/100)</f>
        <v>0</v>
      </c>
      <c r="J131" s="430"/>
      <c r="K131" s="430"/>
      <c r="L131" s="207">
        <f>(F131-J131)*(K131/100)</f>
        <v>0</v>
      </c>
      <c r="M131" s="276">
        <f>SUM(L131,I131)</f>
        <v>0</v>
      </c>
      <c r="N131" s="431"/>
      <c r="O131" s="210">
        <f>SUM(H131,K131)</f>
        <v>0</v>
      </c>
      <c r="P131" s="189" t="s">
        <v>582</v>
      </c>
    </row>
    <row r="132" spans="1:16" ht="15.75" customHeight="1">
      <c r="A132" s="212"/>
      <c r="B132" s="275" t="s">
        <v>589</v>
      </c>
      <c r="C132" s="202" t="s">
        <v>604</v>
      </c>
      <c r="D132" s="260" t="s">
        <v>29</v>
      </c>
      <c r="E132" s="268" t="s">
        <v>610</v>
      </c>
      <c r="F132" s="433"/>
      <c r="G132" s="430"/>
      <c r="H132" s="430"/>
      <c r="I132" s="207">
        <f>(F132-G132)*(H132/100)</f>
        <v>0</v>
      </c>
      <c r="J132" s="430"/>
      <c r="K132" s="430"/>
      <c r="L132" s="207">
        <f>(F132-J132)*(K132/100)</f>
        <v>0</v>
      </c>
      <c r="M132" s="276">
        <f>SUM(L132,I132)</f>
        <v>0</v>
      </c>
      <c r="N132" s="431"/>
      <c r="O132" s="210">
        <f>SUM(H132,K132)</f>
        <v>0</v>
      </c>
      <c r="P132" s="189" t="s">
        <v>582</v>
      </c>
    </row>
    <row r="133" spans="1:16" ht="15.75" customHeight="1">
      <c r="A133" s="212"/>
      <c r="B133" s="275" t="s">
        <v>591</v>
      </c>
      <c r="C133" s="202" t="s">
        <v>604</v>
      </c>
      <c r="D133" s="260" t="s">
        <v>30</v>
      </c>
      <c r="E133" s="272" t="s">
        <v>610</v>
      </c>
      <c r="F133" s="433"/>
      <c r="G133" s="430"/>
      <c r="H133" s="430"/>
      <c r="I133" s="207">
        <f>(F133-G133)*(H133/100)</f>
        <v>0</v>
      </c>
      <c r="J133" s="430"/>
      <c r="K133" s="430"/>
      <c r="L133" s="207">
        <f>(F133-J133)*(K133/100)</f>
        <v>0</v>
      </c>
      <c r="M133" s="276">
        <f>SUM(L133,I133)</f>
        <v>0</v>
      </c>
      <c r="N133" s="431"/>
      <c r="O133" s="210">
        <f>SUM(H133,K133)</f>
        <v>0</v>
      </c>
      <c r="P133" s="189" t="s">
        <v>582</v>
      </c>
    </row>
    <row r="134" spans="1:16" ht="15.75" customHeight="1">
      <c r="A134" s="212"/>
      <c r="B134" s="275" t="s">
        <v>593</v>
      </c>
      <c r="C134" s="202" t="s">
        <v>604</v>
      </c>
      <c r="D134" s="260" t="s">
        <v>31</v>
      </c>
      <c r="E134" s="268" t="s">
        <v>610</v>
      </c>
      <c r="F134" s="433"/>
      <c r="G134" s="430"/>
      <c r="H134" s="430">
        <v>1.4</v>
      </c>
      <c r="I134" s="207">
        <f>(F134-G134)*(H134/100)</f>
        <v>0</v>
      </c>
      <c r="J134" s="430"/>
      <c r="K134" s="430"/>
      <c r="L134" s="207">
        <f>(F134-J134)*(K134/100)</f>
        <v>0</v>
      </c>
      <c r="M134" s="276">
        <f>SUM(L134,I134)</f>
        <v>0</v>
      </c>
      <c r="N134" s="431"/>
      <c r="O134" s="210">
        <f>SUM(H134,K134)</f>
        <v>1.4</v>
      </c>
      <c r="P134" s="189" t="s">
        <v>582</v>
      </c>
    </row>
    <row r="135" spans="1:16" ht="15.75" customHeight="1">
      <c r="A135" s="212"/>
      <c r="B135" s="275" t="s">
        <v>595</v>
      </c>
      <c r="C135" s="202" t="s">
        <v>604</v>
      </c>
      <c r="D135" s="260" t="s">
        <v>596</v>
      </c>
      <c r="E135" s="272" t="s">
        <v>610</v>
      </c>
      <c r="F135" s="433"/>
      <c r="G135" s="430"/>
      <c r="H135" s="430"/>
      <c r="I135" s="207">
        <f>(F135-G135)*(H135/100)</f>
        <v>0</v>
      </c>
      <c r="J135" s="430"/>
      <c r="K135" s="430"/>
      <c r="L135" s="207">
        <f>(F135-J135)*(K135/100)</f>
        <v>0</v>
      </c>
      <c r="M135" s="276">
        <f>SUM(L135,I135)</f>
        <v>0</v>
      </c>
      <c r="N135" s="431"/>
      <c r="O135" s="210">
        <f>SUM(H135,K135)</f>
        <v>0</v>
      </c>
      <c r="P135" s="189" t="s">
        <v>582</v>
      </c>
    </row>
    <row r="136" spans="1:16" s="205" customFormat="1" ht="26.25" customHeight="1">
      <c r="A136" s="201" t="s">
        <v>314</v>
      </c>
      <c r="B136" s="271" t="s">
        <v>1274</v>
      </c>
      <c r="C136" s="202" t="s">
        <v>604</v>
      </c>
      <c r="D136" s="272" t="s">
        <v>87</v>
      </c>
      <c r="E136" s="268" t="s">
        <v>610</v>
      </c>
      <c r="F136" s="273"/>
      <c r="G136" s="273"/>
      <c r="H136" s="203">
        <f>SUM(H137:H141)</f>
        <v>0.7</v>
      </c>
      <c r="I136" s="203">
        <f>SUM(I137:I141)</f>
        <v>0</v>
      </c>
      <c r="J136" s="273"/>
      <c r="K136" s="203">
        <f>SUM(K132:K148)</f>
        <v>0</v>
      </c>
      <c r="L136" s="203">
        <f>SUM(L132:L148)</f>
        <v>0</v>
      </c>
      <c r="M136" s="203">
        <f>SUM(M132:M148)</f>
        <v>0</v>
      </c>
      <c r="N136" s="274">
        <f>IF(O136=0,0,((N132*O132)+(N133*O133)+(N134*O134)+(N135*O135)+(N148*O148))/O136)</f>
        <v>0</v>
      </c>
      <c r="O136" s="204">
        <f>SUM(H117,K117)</f>
        <v>0</v>
      </c>
      <c r="P136" s="205" t="s">
        <v>582</v>
      </c>
    </row>
    <row r="137" spans="1:16" ht="15.75" customHeight="1">
      <c r="A137" s="212"/>
      <c r="B137" s="275" t="s">
        <v>587</v>
      </c>
      <c r="C137" s="202" t="s">
        <v>604</v>
      </c>
      <c r="D137" s="260" t="s">
        <v>28</v>
      </c>
      <c r="E137" s="272" t="s">
        <v>610</v>
      </c>
      <c r="F137" s="433"/>
      <c r="G137" s="430"/>
      <c r="H137" s="430"/>
      <c r="I137" s="207">
        <f>(F137-G137)*(H137/100)</f>
        <v>0</v>
      </c>
      <c r="J137" s="430"/>
      <c r="K137" s="430"/>
      <c r="L137" s="207">
        <f>(F137-J137)*(K137/100)</f>
        <v>0</v>
      </c>
      <c r="M137" s="276">
        <f>SUM(L137,I137)</f>
        <v>0</v>
      </c>
      <c r="N137" s="431"/>
      <c r="O137" s="210">
        <f>SUM(H137,K137)</f>
        <v>0</v>
      </c>
      <c r="P137" s="189" t="s">
        <v>582</v>
      </c>
    </row>
    <row r="138" spans="1:16" ht="15.75" customHeight="1">
      <c r="A138" s="212"/>
      <c r="B138" s="275" t="s">
        <v>589</v>
      </c>
      <c r="C138" s="202" t="s">
        <v>604</v>
      </c>
      <c r="D138" s="260" t="s">
        <v>29</v>
      </c>
      <c r="E138" s="268" t="s">
        <v>610</v>
      </c>
      <c r="F138" s="433"/>
      <c r="G138" s="430"/>
      <c r="H138" s="430"/>
      <c r="I138" s="207">
        <f>(F138-G138)*(H138/100)</f>
        <v>0</v>
      </c>
      <c r="J138" s="430"/>
      <c r="K138" s="430"/>
      <c r="L138" s="207">
        <f>(F138-J138)*(K138/100)</f>
        <v>0</v>
      </c>
      <c r="M138" s="276">
        <f>SUM(L138,I138)</f>
        <v>0</v>
      </c>
      <c r="N138" s="431"/>
      <c r="O138" s="210">
        <f>SUM(H138,K138)</f>
        <v>0</v>
      </c>
      <c r="P138" s="189" t="s">
        <v>582</v>
      </c>
    </row>
    <row r="139" spans="1:16" ht="15.75" customHeight="1">
      <c r="A139" s="212"/>
      <c r="B139" s="275" t="s">
        <v>591</v>
      </c>
      <c r="C139" s="202" t="s">
        <v>604</v>
      </c>
      <c r="D139" s="260" t="s">
        <v>30</v>
      </c>
      <c r="E139" s="272" t="s">
        <v>610</v>
      </c>
      <c r="F139" s="433"/>
      <c r="G139" s="430"/>
      <c r="H139" s="430"/>
      <c r="I139" s="207">
        <f>(F139-G139)*(H139/100)</f>
        <v>0</v>
      </c>
      <c r="J139" s="430"/>
      <c r="K139" s="430"/>
      <c r="L139" s="207">
        <f>(F139-J139)*(K139/100)</f>
        <v>0</v>
      </c>
      <c r="M139" s="276">
        <f>SUM(L139,I139)</f>
        <v>0</v>
      </c>
      <c r="N139" s="431"/>
      <c r="O139" s="210">
        <f>SUM(H139,K139)</f>
        <v>0</v>
      </c>
      <c r="P139" s="189" t="s">
        <v>582</v>
      </c>
    </row>
    <row r="140" spans="1:16" ht="15.75" customHeight="1">
      <c r="A140" s="212"/>
      <c r="B140" s="275" t="s">
        <v>593</v>
      </c>
      <c r="C140" s="202" t="s">
        <v>604</v>
      </c>
      <c r="D140" s="260" t="s">
        <v>31</v>
      </c>
      <c r="E140" s="268" t="s">
        <v>610</v>
      </c>
      <c r="F140" s="433"/>
      <c r="G140" s="430"/>
      <c r="H140" s="430">
        <v>0.7</v>
      </c>
      <c r="I140" s="207">
        <f>(F140-G140)*(H140/100)</f>
        <v>0</v>
      </c>
      <c r="J140" s="430"/>
      <c r="K140" s="430"/>
      <c r="L140" s="207">
        <f>(F140-J140)*(K140/100)</f>
        <v>0</v>
      </c>
      <c r="M140" s="276">
        <f>SUM(L140,I140)</f>
        <v>0</v>
      </c>
      <c r="N140" s="431"/>
      <c r="O140" s="210">
        <f>SUM(H140,K140)</f>
        <v>0.7</v>
      </c>
      <c r="P140" s="189" t="s">
        <v>582</v>
      </c>
    </row>
    <row r="141" spans="1:16" ht="15.75" customHeight="1">
      <c r="A141" s="212"/>
      <c r="B141" s="275" t="s">
        <v>595</v>
      </c>
      <c r="C141" s="202" t="s">
        <v>604</v>
      </c>
      <c r="D141" s="260" t="s">
        <v>596</v>
      </c>
      <c r="E141" s="272" t="s">
        <v>610</v>
      </c>
      <c r="F141" s="433"/>
      <c r="G141" s="430"/>
      <c r="H141" s="430"/>
      <c r="I141" s="207">
        <f>(F141-G141)*(H141/100)</f>
        <v>0</v>
      </c>
      <c r="J141" s="430"/>
      <c r="K141" s="430"/>
      <c r="L141" s="207">
        <f>(F141-J141)*(K141/100)</f>
        <v>0</v>
      </c>
      <c r="M141" s="276">
        <f>SUM(L141,I141)</f>
        <v>0</v>
      </c>
      <c r="N141" s="431"/>
      <c r="O141" s="210">
        <f>SUM(H141,K141)</f>
        <v>0</v>
      </c>
      <c r="P141" s="189" t="s">
        <v>582</v>
      </c>
    </row>
    <row r="142" spans="1:16" s="205" customFormat="1" ht="26.25" customHeight="1">
      <c r="A142" s="201" t="s">
        <v>316</v>
      </c>
      <c r="B142" s="271" t="s">
        <v>1274</v>
      </c>
      <c r="C142" s="202" t="s">
        <v>604</v>
      </c>
      <c r="D142" s="272" t="s">
        <v>87</v>
      </c>
      <c r="E142" s="268" t="s">
        <v>610</v>
      </c>
      <c r="F142" s="273"/>
      <c r="G142" s="273"/>
      <c r="H142" s="203">
        <f>SUM(H143:H147)</f>
        <v>0.7</v>
      </c>
      <c r="I142" s="203">
        <f>SUM(I143:I147)</f>
        <v>0</v>
      </c>
      <c r="J142" s="273"/>
      <c r="K142" s="203">
        <f>SUM(K138:K166)</f>
        <v>0</v>
      </c>
      <c r="L142" s="203">
        <f>SUM(L138:L166)</f>
        <v>0</v>
      </c>
      <c r="M142" s="203">
        <f>SUM(M138:M166)</f>
        <v>0</v>
      </c>
      <c r="N142" s="274">
        <f>IF(O142=0,0,((N138*O138)+(N139*O139)+(N140*O140)+(N141*O141)+(N166*O166))/O142)</f>
        <v>0</v>
      </c>
      <c r="O142" s="204">
        <f>SUM(H123,K123)</f>
        <v>0</v>
      </c>
      <c r="P142" s="205" t="s">
        <v>582</v>
      </c>
    </row>
    <row r="143" spans="1:16" ht="15.75" customHeight="1">
      <c r="A143" s="212"/>
      <c r="B143" s="275" t="s">
        <v>587</v>
      </c>
      <c r="C143" s="202" t="s">
        <v>604</v>
      </c>
      <c r="D143" s="260" t="s">
        <v>28</v>
      </c>
      <c r="E143" s="272" t="s">
        <v>610</v>
      </c>
      <c r="F143" s="433"/>
      <c r="G143" s="430"/>
      <c r="H143" s="430"/>
      <c r="I143" s="207">
        <f>(F143-G143)*(H143/100)</f>
        <v>0</v>
      </c>
      <c r="J143" s="430"/>
      <c r="K143" s="430"/>
      <c r="L143" s="207">
        <f>(F143-J143)*(K143/100)</f>
        <v>0</v>
      </c>
      <c r="M143" s="276">
        <f>SUM(L143,I143)</f>
        <v>0</v>
      </c>
      <c r="N143" s="431"/>
      <c r="O143" s="210">
        <f>SUM(H143,K143)</f>
        <v>0</v>
      </c>
      <c r="P143" s="189" t="s">
        <v>582</v>
      </c>
    </row>
    <row r="144" spans="1:16" ht="15.75" customHeight="1">
      <c r="A144" s="212"/>
      <c r="B144" s="275" t="s">
        <v>589</v>
      </c>
      <c r="C144" s="202" t="s">
        <v>604</v>
      </c>
      <c r="D144" s="260" t="s">
        <v>29</v>
      </c>
      <c r="E144" s="268" t="s">
        <v>610</v>
      </c>
      <c r="F144" s="433"/>
      <c r="G144" s="430"/>
      <c r="H144" s="430"/>
      <c r="I144" s="207">
        <f>(F144-G144)*(H144/100)</f>
        <v>0</v>
      </c>
      <c r="J144" s="430"/>
      <c r="K144" s="430"/>
      <c r="L144" s="207">
        <f>(F144-J144)*(K144/100)</f>
        <v>0</v>
      </c>
      <c r="M144" s="276">
        <f>SUM(L144,I144)</f>
        <v>0</v>
      </c>
      <c r="N144" s="431"/>
      <c r="O144" s="210">
        <f>SUM(H144,K144)</f>
        <v>0</v>
      </c>
      <c r="P144" s="189" t="s">
        <v>582</v>
      </c>
    </row>
    <row r="145" spans="1:16" ht="15.75" customHeight="1">
      <c r="A145" s="212"/>
      <c r="B145" s="275" t="s">
        <v>591</v>
      </c>
      <c r="C145" s="202" t="s">
        <v>604</v>
      </c>
      <c r="D145" s="260" t="s">
        <v>30</v>
      </c>
      <c r="E145" s="272" t="s">
        <v>610</v>
      </c>
      <c r="F145" s="433"/>
      <c r="G145" s="430"/>
      <c r="H145" s="430"/>
      <c r="I145" s="207">
        <f>(F145-G145)*(H145/100)</f>
        <v>0</v>
      </c>
      <c r="J145" s="430"/>
      <c r="K145" s="430"/>
      <c r="L145" s="207">
        <f>(F145-J145)*(K145/100)</f>
        <v>0</v>
      </c>
      <c r="M145" s="276">
        <f>SUM(L145,I145)</f>
        <v>0</v>
      </c>
      <c r="N145" s="431"/>
      <c r="O145" s="210">
        <f>SUM(H145,K145)</f>
        <v>0</v>
      </c>
      <c r="P145" s="189" t="s">
        <v>582</v>
      </c>
    </row>
    <row r="146" spans="1:16" ht="15.75" customHeight="1">
      <c r="A146" s="212"/>
      <c r="B146" s="275" t="s">
        <v>593</v>
      </c>
      <c r="C146" s="202" t="s">
        <v>604</v>
      </c>
      <c r="D146" s="260" t="s">
        <v>31</v>
      </c>
      <c r="E146" s="268" t="s">
        <v>610</v>
      </c>
      <c r="F146" s="433"/>
      <c r="G146" s="430"/>
      <c r="H146" s="430">
        <v>0.7</v>
      </c>
      <c r="I146" s="207">
        <f>(F146-G146)*(H146/100)</f>
        <v>0</v>
      </c>
      <c r="J146" s="430"/>
      <c r="K146" s="430"/>
      <c r="L146" s="207">
        <f>(F146-J146)*(K146/100)</f>
        <v>0</v>
      </c>
      <c r="M146" s="276">
        <f>SUM(L146,I146)</f>
        <v>0</v>
      </c>
      <c r="N146" s="431"/>
      <c r="O146" s="210">
        <f>SUM(H146,K146)</f>
        <v>0.7</v>
      </c>
      <c r="P146" s="189" t="s">
        <v>582</v>
      </c>
    </row>
    <row r="147" spans="1:16" ht="15.75" customHeight="1">
      <c r="A147" s="212"/>
      <c r="B147" s="275" t="s">
        <v>595</v>
      </c>
      <c r="C147" s="202" t="s">
        <v>604</v>
      </c>
      <c r="D147" s="260" t="s">
        <v>596</v>
      </c>
      <c r="E147" s="272" t="s">
        <v>610</v>
      </c>
      <c r="F147" s="433"/>
      <c r="G147" s="430"/>
      <c r="H147" s="430"/>
      <c r="I147" s="207">
        <f>(F147-G147)*(H147/100)</f>
        <v>0</v>
      </c>
      <c r="J147" s="430"/>
      <c r="K147" s="430"/>
      <c r="L147" s="207">
        <f>(F147-J147)*(K147/100)</f>
        <v>0</v>
      </c>
      <c r="M147" s="276">
        <f>SUM(L147,I147)</f>
        <v>0</v>
      </c>
      <c r="N147" s="431"/>
      <c r="O147" s="210">
        <f>SUM(H147,K147)</f>
        <v>0</v>
      </c>
      <c r="P147" s="189" t="s">
        <v>582</v>
      </c>
    </row>
    <row r="148" spans="1:16" s="205" customFormat="1" ht="29.25" customHeight="1">
      <c r="A148" s="201" t="s">
        <v>75</v>
      </c>
      <c r="B148" s="271" t="s">
        <v>1283</v>
      </c>
      <c r="C148" s="202" t="s">
        <v>605</v>
      </c>
      <c r="D148" s="272" t="s">
        <v>87</v>
      </c>
      <c r="E148" s="268" t="s">
        <v>610</v>
      </c>
      <c r="F148" s="273"/>
      <c r="G148" s="273"/>
      <c r="H148" s="203">
        <f>SUM(H149:H153)</f>
        <v>1.3</v>
      </c>
      <c r="I148" s="203">
        <f>SUM(I149:I153)</f>
        <v>0</v>
      </c>
      <c r="J148" s="273"/>
      <c r="K148" s="203">
        <f>SUM(K149:K153)</f>
        <v>0</v>
      </c>
      <c r="L148" s="203">
        <f>SUM(L149:L153)</f>
        <v>0</v>
      </c>
      <c r="M148" s="203">
        <f>SUM(M149:M153)</f>
        <v>0</v>
      </c>
      <c r="N148" s="274">
        <f>IF(O148=0,0,((N149*O149)+(N150*O150)+(N151*O151)+(N152*O152)+(N153*O153))/O148)</f>
        <v>0</v>
      </c>
      <c r="O148" s="204">
        <f>SUM(H134,K134)</f>
        <v>1.4</v>
      </c>
      <c r="P148" s="205" t="s">
        <v>582</v>
      </c>
    </row>
    <row r="149" spans="1:16" ht="15.75" customHeight="1">
      <c r="A149" s="212"/>
      <c r="B149" s="275" t="s">
        <v>587</v>
      </c>
      <c r="C149" s="202" t="s">
        <v>605</v>
      </c>
      <c r="D149" s="260" t="s">
        <v>28</v>
      </c>
      <c r="E149" s="272" t="s">
        <v>610</v>
      </c>
      <c r="F149" s="433"/>
      <c r="G149" s="430"/>
      <c r="H149" s="430"/>
      <c r="I149" s="207">
        <f>(F149-G149)*(H149/100)</f>
        <v>0</v>
      </c>
      <c r="J149" s="430"/>
      <c r="K149" s="430"/>
      <c r="L149" s="207">
        <f>(F149-J149)*(K149/100)</f>
        <v>0</v>
      </c>
      <c r="M149" s="276">
        <f>SUM(L149,I149)</f>
        <v>0</v>
      </c>
      <c r="N149" s="431"/>
      <c r="O149" s="210">
        <f aca="true" t="shared" si="7" ref="O149:O177">SUM(H149,K149)</f>
        <v>0</v>
      </c>
      <c r="P149" s="189" t="s">
        <v>582</v>
      </c>
    </row>
    <row r="150" spans="1:16" ht="15.75" customHeight="1">
      <c r="A150" s="212"/>
      <c r="B150" s="275" t="s">
        <v>589</v>
      </c>
      <c r="C150" s="202" t="s">
        <v>605</v>
      </c>
      <c r="D150" s="260" t="s">
        <v>29</v>
      </c>
      <c r="E150" s="268" t="s">
        <v>610</v>
      </c>
      <c r="F150" s="433"/>
      <c r="G150" s="430"/>
      <c r="H150" s="430"/>
      <c r="I150" s="207">
        <f>(F150-G150)*(H150/100)</f>
        <v>0</v>
      </c>
      <c r="J150" s="430"/>
      <c r="K150" s="430"/>
      <c r="L150" s="207">
        <f>(F150-J150)*(K150/100)</f>
        <v>0</v>
      </c>
      <c r="M150" s="276">
        <f>SUM(L150,I150)</f>
        <v>0</v>
      </c>
      <c r="N150" s="431"/>
      <c r="O150" s="210">
        <f t="shared" si="7"/>
        <v>0</v>
      </c>
      <c r="P150" s="189" t="s">
        <v>582</v>
      </c>
    </row>
    <row r="151" spans="1:16" ht="15.75" customHeight="1">
      <c r="A151" s="212"/>
      <c r="B151" s="275" t="s">
        <v>591</v>
      </c>
      <c r="C151" s="202" t="s">
        <v>605</v>
      </c>
      <c r="D151" s="260" t="s">
        <v>30</v>
      </c>
      <c r="E151" s="272" t="s">
        <v>610</v>
      </c>
      <c r="F151" s="433"/>
      <c r="G151" s="430"/>
      <c r="H151" s="430"/>
      <c r="I151" s="207">
        <f>(F151-G151)*(H151/100)</f>
        <v>0</v>
      </c>
      <c r="J151" s="430"/>
      <c r="K151" s="430"/>
      <c r="L151" s="207">
        <f>(F151-J151)*(K151/100)</f>
        <v>0</v>
      </c>
      <c r="M151" s="276">
        <f>SUM(L151,I151)</f>
        <v>0</v>
      </c>
      <c r="N151" s="431"/>
      <c r="O151" s="210">
        <f t="shared" si="7"/>
        <v>0</v>
      </c>
      <c r="P151" s="189" t="s">
        <v>582</v>
      </c>
    </row>
    <row r="152" spans="1:16" ht="15.75" customHeight="1">
      <c r="A152" s="212"/>
      <c r="B152" s="275" t="s">
        <v>593</v>
      </c>
      <c r="C152" s="202" t="s">
        <v>605</v>
      </c>
      <c r="D152" s="260" t="s">
        <v>31</v>
      </c>
      <c r="E152" s="268" t="s">
        <v>610</v>
      </c>
      <c r="F152" s="433"/>
      <c r="G152" s="430"/>
      <c r="H152" s="430">
        <v>1.3</v>
      </c>
      <c r="I152" s="207">
        <f>(F152-G152)*(H152/100)</f>
        <v>0</v>
      </c>
      <c r="J152" s="430"/>
      <c r="K152" s="430"/>
      <c r="L152" s="207">
        <f>(F152-J152)*(K152/100)</f>
        <v>0</v>
      </c>
      <c r="M152" s="276">
        <f>SUM(L152,I152)</f>
        <v>0</v>
      </c>
      <c r="N152" s="431"/>
      <c r="O152" s="210">
        <f t="shared" si="7"/>
        <v>1.3</v>
      </c>
      <c r="P152" s="189" t="s">
        <v>582</v>
      </c>
    </row>
    <row r="153" spans="1:16" ht="15.75" customHeight="1">
      <c r="A153" s="212"/>
      <c r="B153" s="275" t="s">
        <v>595</v>
      </c>
      <c r="C153" s="202" t="s">
        <v>605</v>
      </c>
      <c r="D153" s="260" t="s">
        <v>596</v>
      </c>
      <c r="E153" s="272" t="s">
        <v>610</v>
      </c>
      <c r="F153" s="433"/>
      <c r="G153" s="430"/>
      <c r="H153" s="430"/>
      <c r="I153" s="207">
        <f>(F153-G153)*(H153/100)</f>
        <v>0</v>
      </c>
      <c r="J153" s="430"/>
      <c r="K153" s="430"/>
      <c r="L153" s="207">
        <f>(F153-J153)*(K153/100)</f>
        <v>0</v>
      </c>
      <c r="M153" s="276">
        <f>SUM(L153,I153)</f>
        <v>0</v>
      </c>
      <c r="N153" s="431"/>
      <c r="O153" s="210">
        <f t="shared" si="7"/>
        <v>0</v>
      </c>
      <c r="P153" s="189" t="s">
        <v>582</v>
      </c>
    </row>
    <row r="154" spans="1:16" s="205" customFormat="1" ht="29.25" customHeight="1">
      <c r="A154" s="201" t="s">
        <v>1284</v>
      </c>
      <c r="B154" s="271" t="s">
        <v>1274</v>
      </c>
      <c r="C154" s="202" t="s">
        <v>605</v>
      </c>
      <c r="D154" s="272" t="s">
        <v>87</v>
      </c>
      <c r="E154" s="268" t="s">
        <v>610</v>
      </c>
      <c r="F154" s="273"/>
      <c r="G154" s="273"/>
      <c r="H154" s="203">
        <f>SUM(H155:H159)</f>
        <v>0.7</v>
      </c>
      <c r="I154" s="203">
        <f>SUM(I155:I159)</f>
        <v>0</v>
      </c>
      <c r="J154" s="273"/>
      <c r="K154" s="203">
        <f>SUM(K155:K159)</f>
        <v>0</v>
      </c>
      <c r="L154" s="203">
        <f>SUM(L155:L159)</f>
        <v>0</v>
      </c>
      <c r="M154" s="203">
        <f>SUM(M155:M159)</f>
        <v>0</v>
      </c>
      <c r="N154" s="274">
        <f>IF(O154=0,0,((N155*O155)+(N156*O156)+(N157*O157)+(N158*O158)+(N159*O159))/O154)</f>
        <v>0</v>
      </c>
      <c r="O154" s="204">
        <f>SUM(H140,K140)</f>
        <v>0.7</v>
      </c>
      <c r="P154" s="205" t="s">
        <v>582</v>
      </c>
    </row>
    <row r="155" spans="1:16" ht="15.75" customHeight="1">
      <c r="A155" s="212"/>
      <c r="B155" s="275" t="s">
        <v>587</v>
      </c>
      <c r="C155" s="202" t="s">
        <v>605</v>
      </c>
      <c r="D155" s="260" t="s">
        <v>28</v>
      </c>
      <c r="E155" s="272" t="s">
        <v>610</v>
      </c>
      <c r="F155" s="433"/>
      <c r="G155" s="430"/>
      <c r="H155" s="430"/>
      <c r="I155" s="207">
        <f>(F155-G155)*(H155/100)</f>
        <v>0</v>
      </c>
      <c r="J155" s="430"/>
      <c r="K155" s="430"/>
      <c r="L155" s="207">
        <f>(F155-J155)*(K155/100)</f>
        <v>0</v>
      </c>
      <c r="M155" s="276">
        <f>SUM(L155,I155)</f>
        <v>0</v>
      </c>
      <c r="N155" s="431"/>
      <c r="O155" s="210">
        <f>SUM(H155,K155)</f>
        <v>0</v>
      </c>
      <c r="P155" s="189" t="s">
        <v>582</v>
      </c>
    </row>
    <row r="156" spans="1:16" ht="15.75" customHeight="1">
      <c r="A156" s="212"/>
      <c r="B156" s="275" t="s">
        <v>589</v>
      </c>
      <c r="C156" s="202" t="s">
        <v>605</v>
      </c>
      <c r="D156" s="260" t="s">
        <v>29</v>
      </c>
      <c r="E156" s="268" t="s">
        <v>610</v>
      </c>
      <c r="F156" s="433"/>
      <c r="G156" s="430"/>
      <c r="H156" s="430"/>
      <c r="I156" s="207">
        <f>(F156-G156)*(H156/100)</f>
        <v>0</v>
      </c>
      <c r="J156" s="430"/>
      <c r="K156" s="430"/>
      <c r="L156" s="207">
        <f>(F156-J156)*(K156/100)</f>
        <v>0</v>
      </c>
      <c r="M156" s="276">
        <f>SUM(L156,I156)</f>
        <v>0</v>
      </c>
      <c r="N156" s="431"/>
      <c r="O156" s="210">
        <f>SUM(H156,K156)</f>
        <v>0</v>
      </c>
      <c r="P156" s="189" t="s">
        <v>582</v>
      </c>
    </row>
    <row r="157" spans="1:16" ht="15.75" customHeight="1">
      <c r="A157" s="212"/>
      <c r="B157" s="275" t="s">
        <v>591</v>
      </c>
      <c r="C157" s="202" t="s">
        <v>605</v>
      </c>
      <c r="D157" s="260" t="s">
        <v>30</v>
      </c>
      <c r="E157" s="272" t="s">
        <v>610</v>
      </c>
      <c r="F157" s="433"/>
      <c r="G157" s="430"/>
      <c r="H157" s="430"/>
      <c r="I157" s="207">
        <f>(F157-G157)*(H157/100)</f>
        <v>0</v>
      </c>
      <c r="J157" s="430"/>
      <c r="K157" s="430"/>
      <c r="L157" s="207">
        <f>(F157-J157)*(K157/100)</f>
        <v>0</v>
      </c>
      <c r="M157" s="276">
        <f>SUM(L157,I157)</f>
        <v>0</v>
      </c>
      <c r="N157" s="431"/>
      <c r="O157" s="210">
        <f>SUM(H157,K157)</f>
        <v>0</v>
      </c>
      <c r="P157" s="189" t="s">
        <v>582</v>
      </c>
    </row>
    <row r="158" spans="1:16" ht="15.75" customHeight="1">
      <c r="A158" s="212"/>
      <c r="B158" s="275" t="s">
        <v>593</v>
      </c>
      <c r="C158" s="202" t="s">
        <v>605</v>
      </c>
      <c r="D158" s="260" t="s">
        <v>31</v>
      </c>
      <c r="E158" s="268" t="s">
        <v>610</v>
      </c>
      <c r="F158" s="433"/>
      <c r="G158" s="430"/>
      <c r="H158" s="430">
        <v>0.7</v>
      </c>
      <c r="I158" s="207">
        <f>(F158-G158)*(H158/100)</f>
        <v>0</v>
      </c>
      <c r="J158" s="430"/>
      <c r="K158" s="430"/>
      <c r="L158" s="207">
        <f>(F158-J158)*(K158/100)</f>
        <v>0</v>
      </c>
      <c r="M158" s="276">
        <f>SUM(L158,I158)</f>
        <v>0</v>
      </c>
      <c r="N158" s="431"/>
      <c r="O158" s="210">
        <f>SUM(H158,K158)</f>
        <v>0.7</v>
      </c>
      <c r="P158" s="189" t="s">
        <v>582</v>
      </c>
    </row>
    <row r="159" spans="1:16" ht="15.75" customHeight="1">
      <c r="A159" s="212"/>
      <c r="B159" s="275" t="s">
        <v>595</v>
      </c>
      <c r="C159" s="202" t="s">
        <v>605</v>
      </c>
      <c r="D159" s="260" t="s">
        <v>596</v>
      </c>
      <c r="E159" s="272" t="s">
        <v>610</v>
      </c>
      <c r="F159" s="433"/>
      <c r="G159" s="430"/>
      <c r="H159" s="430"/>
      <c r="I159" s="207">
        <f>(F159-G159)*(H159/100)</f>
        <v>0</v>
      </c>
      <c r="J159" s="430"/>
      <c r="K159" s="430"/>
      <c r="L159" s="207">
        <f>(F159-J159)*(K159/100)</f>
        <v>0</v>
      </c>
      <c r="M159" s="276">
        <f>SUM(L159,I159)</f>
        <v>0</v>
      </c>
      <c r="N159" s="431"/>
      <c r="O159" s="210">
        <f>SUM(H159,K159)</f>
        <v>0</v>
      </c>
      <c r="P159" s="189" t="s">
        <v>582</v>
      </c>
    </row>
    <row r="160" spans="1:16" s="205" customFormat="1" ht="29.25" customHeight="1">
      <c r="A160" s="201" t="s">
        <v>1285</v>
      </c>
      <c r="B160" s="271" t="s">
        <v>1275</v>
      </c>
      <c r="C160" s="202" t="s">
        <v>605</v>
      </c>
      <c r="D160" s="272" t="s">
        <v>87</v>
      </c>
      <c r="E160" s="268" t="s">
        <v>610</v>
      </c>
      <c r="F160" s="273"/>
      <c r="G160" s="273"/>
      <c r="H160" s="203">
        <f>SUM(H161:H165)</f>
        <v>0.6</v>
      </c>
      <c r="I160" s="203">
        <f>SUM(I161:I165)</f>
        <v>0</v>
      </c>
      <c r="J160" s="273"/>
      <c r="K160" s="203">
        <f>SUM(K161:K165)</f>
        <v>0</v>
      </c>
      <c r="L160" s="203">
        <f>SUM(L161:L165)</f>
        <v>0</v>
      </c>
      <c r="M160" s="203">
        <f>SUM(M161:M165)</f>
        <v>0</v>
      </c>
      <c r="N160" s="274">
        <f>IF(O160=0,0,((N161*O161)+(N162*O162)+(N163*O163)+(N164*O164)+(N165*O165))/O160)</f>
        <v>0</v>
      </c>
      <c r="O160" s="204">
        <f>SUM(H146,K146)</f>
        <v>0.7</v>
      </c>
      <c r="P160" s="205" t="s">
        <v>582</v>
      </c>
    </row>
    <row r="161" spans="1:16" ht="15.75" customHeight="1">
      <c r="A161" s="212"/>
      <c r="B161" s="275" t="s">
        <v>587</v>
      </c>
      <c r="C161" s="202" t="s">
        <v>605</v>
      </c>
      <c r="D161" s="260" t="s">
        <v>28</v>
      </c>
      <c r="E161" s="272" t="s">
        <v>610</v>
      </c>
      <c r="F161" s="433"/>
      <c r="G161" s="430"/>
      <c r="H161" s="430"/>
      <c r="I161" s="207">
        <f>(F161-G161)*(H161/100)</f>
        <v>0</v>
      </c>
      <c r="J161" s="430"/>
      <c r="K161" s="430"/>
      <c r="L161" s="207">
        <f>(F161-J161)*(K161/100)</f>
        <v>0</v>
      </c>
      <c r="M161" s="276">
        <f>SUM(L161,I161)</f>
        <v>0</v>
      </c>
      <c r="N161" s="431"/>
      <c r="O161" s="210">
        <f>SUM(H161,K161)</f>
        <v>0</v>
      </c>
      <c r="P161" s="189" t="s">
        <v>582</v>
      </c>
    </row>
    <row r="162" spans="1:16" ht="15.75" customHeight="1">
      <c r="A162" s="212"/>
      <c r="B162" s="275" t="s">
        <v>589</v>
      </c>
      <c r="C162" s="202" t="s">
        <v>605</v>
      </c>
      <c r="D162" s="260" t="s">
        <v>29</v>
      </c>
      <c r="E162" s="268" t="s">
        <v>610</v>
      </c>
      <c r="F162" s="433"/>
      <c r="G162" s="430"/>
      <c r="H162" s="430"/>
      <c r="I162" s="207">
        <f>(F162-G162)*(H162/100)</f>
        <v>0</v>
      </c>
      <c r="J162" s="430"/>
      <c r="K162" s="430"/>
      <c r="L162" s="207">
        <f>(F162-J162)*(K162/100)</f>
        <v>0</v>
      </c>
      <c r="M162" s="276">
        <f>SUM(L162,I162)</f>
        <v>0</v>
      </c>
      <c r="N162" s="431"/>
      <c r="O162" s="210">
        <f>SUM(H162,K162)</f>
        <v>0</v>
      </c>
      <c r="P162" s="189" t="s">
        <v>582</v>
      </c>
    </row>
    <row r="163" spans="1:16" ht="15.75" customHeight="1">
      <c r="A163" s="212"/>
      <c r="B163" s="275" t="s">
        <v>591</v>
      </c>
      <c r="C163" s="202" t="s">
        <v>605</v>
      </c>
      <c r="D163" s="260" t="s">
        <v>30</v>
      </c>
      <c r="E163" s="272" t="s">
        <v>610</v>
      </c>
      <c r="F163" s="433"/>
      <c r="G163" s="430"/>
      <c r="H163" s="430"/>
      <c r="I163" s="207">
        <f>(F163-G163)*(H163/100)</f>
        <v>0</v>
      </c>
      <c r="J163" s="430"/>
      <c r="K163" s="430"/>
      <c r="L163" s="207">
        <f>(F163-J163)*(K163/100)</f>
        <v>0</v>
      </c>
      <c r="M163" s="276">
        <f>SUM(L163,I163)</f>
        <v>0</v>
      </c>
      <c r="N163" s="431"/>
      <c r="O163" s="210">
        <f>SUM(H163,K163)</f>
        <v>0</v>
      </c>
      <c r="P163" s="189" t="s">
        <v>582</v>
      </c>
    </row>
    <row r="164" spans="1:16" ht="15.75" customHeight="1">
      <c r="A164" s="212"/>
      <c r="B164" s="275" t="s">
        <v>593</v>
      </c>
      <c r="C164" s="202" t="s">
        <v>605</v>
      </c>
      <c r="D164" s="260" t="s">
        <v>31</v>
      </c>
      <c r="E164" s="268" t="s">
        <v>610</v>
      </c>
      <c r="F164" s="433"/>
      <c r="G164" s="430"/>
      <c r="H164" s="430">
        <v>0.6</v>
      </c>
      <c r="I164" s="207">
        <f>(F164-G164)*(H164/100)</f>
        <v>0</v>
      </c>
      <c r="J164" s="430"/>
      <c r="K164" s="430"/>
      <c r="L164" s="207">
        <f>(F164-J164)*(K164/100)</f>
        <v>0</v>
      </c>
      <c r="M164" s="276">
        <f>SUM(L164,I164)</f>
        <v>0</v>
      </c>
      <c r="N164" s="431"/>
      <c r="O164" s="210">
        <f>SUM(H164,K164)</f>
        <v>0.6</v>
      </c>
      <c r="P164" s="189" t="s">
        <v>582</v>
      </c>
    </row>
    <row r="165" spans="1:16" ht="15.75" customHeight="1">
      <c r="A165" s="212"/>
      <c r="B165" s="275" t="s">
        <v>595</v>
      </c>
      <c r="C165" s="202" t="s">
        <v>605</v>
      </c>
      <c r="D165" s="260" t="s">
        <v>596</v>
      </c>
      <c r="E165" s="272" t="s">
        <v>610</v>
      </c>
      <c r="F165" s="433"/>
      <c r="G165" s="430"/>
      <c r="H165" s="430"/>
      <c r="I165" s="207">
        <f>(F165-G165)*(H165/100)</f>
        <v>0</v>
      </c>
      <c r="J165" s="430"/>
      <c r="K165" s="430"/>
      <c r="L165" s="207">
        <f>(F165-J165)*(K165/100)</f>
        <v>0</v>
      </c>
      <c r="M165" s="276">
        <f>SUM(L165,I165)</f>
        <v>0</v>
      </c>
      <c r="N165" s="431"/>
      <c r="O165" s="210">
        <f>SUM(H165,K165)</f>
        <v>0</v>
      </c>
      <c r="P165" s="189" t="s">
        <v>582</v>
      </c>
    </row>
    <row r="166" spans="1:16" s="213" customFormat="1" ht="24.75" customHeight="1">
      <c r="A166" s="284" t="s">
        <v>78</v>
      </c>
      <c r="B166" s="277" t="s">
        <v>608</v>
      </c>
      <c r="C166" s="278" t="s">
        <v>608</v>
      </c>
      <c r="D166" s="279" t="s">
        <v>87</v>
      </c>
      <c r="E166" s="268" t="s">
        <v>610</v>
      </c>
      <c r="F166" s="273"/>
      <c r="G166" s="273"/>
      <c r="H166" s="203">
        <f>SUM(H167:H171)</f>
        <v>0</v>
      </c>
      <c r="I166" s="203">
        <f>SUM(I167:I171)</f>
        <v>0</v>
      </c>
      <c r="J166" s="273"/>
      <c r="K166" s="203">
        <f>SUM(K167:K171)</f>
        <v>0</v>
      </c>
      <c r="L166" s="203">
        <f>SUM(L167:L171)</f>
        <v>0</v>
      </c>
      <c r="M166" s="203">
        <f>SUM(M167:M171)</f>
        <v>0</v>
      </c>
      <c r="N166" s="279"/>
      <c r="O166" s="210">
        <f t="shared" si="7"/>
        <v>0</v>
      </c>
      <c r="P166" s="213" t="s">
        <v>582</v>
      </c>
    </row>
    <row r="167" spans="1:16" s="213" customFormat="1" ht="15.75" customHeight="1">
      <c r="A167" s="286" t="s">
        <v>105</v>
      </c>
      <c r="B167" s="280" t="s">
        <v>587</v>
      </c>
      <c r="C167" s="278" t="s">
        <v>608</v>
      </c>
      <c r="D167" s="279" t="s">
        <v>28</v>
      </c>
      <c r="E167" s="272" t="s">
        <v>610</v>
      </c>
      <c r="F167" s="433"/>
      <c r="G167" s="430"/>
      <c r="H167" s="430"/>
      <c r="I167" s="207">
        <f>(F167-G167)*(H167/100)</f>
        <v>0</v>
      </c>
      <c r="J167" s="430"/>
      <c r="K167" s="430"/>
      <c r="L167" s="207">
        <f>(F167-J167)*(K167/100)</f>
        <v>0</v>
      </c>
      <c r="M167" s="276">
        <f>SUM(L167,I167)</f>
        <v>0</v>
      </c>
      <c r="N167" s="431"/>
      <c r="O167" s="210">
        <f t="shared" si="7"/>
        <v>0</v>
      </c>
      <c r="P167" s="213" t="s">
        <v>582</v>
      </c>
    </row>
    <row r="168" spans="1:16" s="213" customFormat="1" ht="15.75" customHeight="1">
      <c r="A168" s="286" t="s">
        <v>113</v>
      </c>
      <c r="B168" s="280" t="s">
        <v>589</v>
      </c>
      <c r="C168" s="278" t="s">
        <v>608</v>
      </c>
      <c r="D168" s="279" t="s">
        <v>29</v>
      </c>
      <c r="E168" s="268" t="s">
        <v>610</v>
      </c>
      <c r="F168" s="433"/>
      <c r="G168" s="430"/>
      <c r="H168" s="430"/>
      <c r="I168" s="207">
        <f>(F168-G168)*(H168/100)</f>
        <v>0</v>
      </c>
      <c r="J168" s="430"/>
      <c r="K168" s="430"/>
      <c r="L168" s="207">
        <f>(F168-J168)*(K168/100)</f>
        <v>0</v>
      </c>
      <c r="M168" s="276">
        <f>SUM(L168,I168)</f>
        <v>0</v>
      </c>
      <c r="N168" s="431"/>
      <c r="O168" s="210">
        <f t="shared" si="7"/>
        <v>0</v>
      </c>
      <c r="P168" s="213" t="s">
        <v>582</v>
      </c>
    </row>
    <row r="169" spans="1:16" s="213" customFormat="1" ht="15.75" customHeight="1">
      <c r="A169" s="286" t="s">
        <v>116</v>
      </c>
      <c r="B169" s="280" t="s">
        <v>591</v>
      </c>
      <c r="C169" s="278" t="s">
        <v>608</v>
      </c>
      <c r="D169" s="279" t="s">
        <v>30</v>
      </c>
      <c r="E169" s="272" t="s">
        <v>610</v>
      </c>
      <c r="F169" s="433"/>
      <c r="G169" s="430"/>
      <c r="H169" s="430"/>
      <c r="I169" s="207">
        <f>(F169-G169)*(H169/100)</f>
        <v>0</v>
      </c>
      <c r="J169" s="430"/>
      <c r="K169" s="430"/>
      <c r="L169" s="207">
        <f>(F169-J169)*(K169/100)</f>
        <v>0</v>
      </c>
      <c r="M169" s="276">
        <f>SUM(L169,I169)</f>
        <v>0</v>
      </c>
      <c r="N169" s="431"/>
      <c r="O169" s="210">
        <f t="shared" si="7"/>
        <v>0</v>
      </c>
      <c r="P169" s="213" t="s">
        <v>582</v>
      </c>
    </row>
    <row r="170" spans="1:16" s="213" customFormat="1" ht="15.75" customHeight="1">
      <c r="A170" s="286" t="s">
        <v>119</v>
      </c>
      <c r="B170" s="280" t="s">
        <v>593</v>
      </c>
      <c r="C170" s="278" t="s">
        <v>608</v>
      </c>
      <c r="D170" s="279" t="s">
        <v>31</v>
      </c>
      <c r="E170" s="268" t="s">
        <v>610</v>
      </c>
      <c r="F170" s="433"/>
      <c r="G170" s="430"/>
      <c r="H170" s="430"/>
      <c r="I170" s="207">
        <f>(F170-G170)*(H170/100)</f>
        <v>0</v>
      </c>
      <c r="J170" s="430"/>
      <c r="K170" s="430"/>
      <c r="L170" s="207">
        <f>(F170-J170)*(K170/100)</f>
        <v>0</v>
      </c>
      <c r="M170" s="276">
        <f>SUM(L170,I170)</f>
        <v>0</v>
      </c>
      <c r="N170" s="431"/>
      <c r="O170" s="210">
        <f t="shared" si="7"/>
        <v>0</v>
      </c>
      <c r="P170" s="213" t="s">
        <v>582</v>
      </c>
    </row>
    <row r="171" spans="1:16" s="213" customFormat="1" ht="15.75" customHeight="1">
      <c r="A171" s="286" t="s">
        <v>173</v>
      </c>
      <c r="B171" s="280" t="s">
        <v>595</v>
      </c>
      <c r="C171" s="278" t="s">
        <v>608</v>
      </c>
      <c r="D171" s="279" t="s">
        <v>596</v>
      </c>
      <c r="E171" s="272" t="s">
        <v>610</v>
      </c>
      <c r="F171" s="433"/>
      <c r="G171" s="430"/>
      <c r="H171" s="430"/>
      <c r="I171" s="207">
        <f>(F171-G171)*(H171/100)</f>
        <v>0</v>
      </c>
      <c r="J171" s="430"/>
      <c r="K171" s="430"/>
      <c r="L171" s="207">
        <f>(F171-J171)*(K171/100)</f>
        <v>0</v>
      </c>
      <c r="M171" s="276">
        <f>SUM(L171,I171)</f>
        <v>0</v>
      </c>
      <c r="N171" s="431"/>
      <c r="O171" s="210">
        <f t="shared" si="7"/>
        <v>0</v>
      </c>
      <c r="P171" s="213" t="s">
        <v>582</v>
      </c>
    </row>
    <row r="172" spans="1:16" s="213" customFormat="1" ht="24.75" customHeight="1">
      <c r="A172" s="284" t="s">
        <v>122</v>
      </c>
      <c r="B172" s="277" t="s">
        <v>609</v>
      </c>
      <c r="C172" s="278" t="s">
        <v>609</v>
      </c>
      <c r="D172" s="279" t="s">
        <v>87</v>
      </c>
      <c r="E172" s="268" t="s">
        <v>610</v>
      </c>
      <c r="F172" s="273"/>
      <c r="G172" s="273"/>
      <c r="H172" s="203">
        <f>SUM(H173:H177)</f>
        <v>0</v>
      </c>
      <c r="I172" s="203">
        <f>SUM(I173:I177)</f>
        <v>0</v>
      </c>
      <c r="J172" s="273"/>
      <c r="K172" s="203">
        <f>SUM(K173:K177)</f>
        <v>0</v>
      </c>
      <c r="L172" s="203">
        <f>SUM(L173:L177)</f>
        <v>0</v>
      </c>
      <c r="M172" s="203">
        <f>SUM(M173:M177)</f>
        <v>0</v>
      </c>
      <c r="N172" s="279"/>
      <c r="O172" s="210">
        <f t="shared" si="7"/>
        <v>0</v>
      </c>
      <c r="P172" s="213" t="s">
        <v>582</v>
      </c>
    </row>
    <row r="173" spans="1:16" s="213" customFormat="1" ht="15.75" customHeight="1">
      <c r="A173" s="286" t="s">
        <v>218</v>
      </c>
      <c r="B173" s="280" t="s">
        <v>587</v>
      </c>
      <c r="C173" s="278" t="s">
        <v>609</v>
      </c>
      <c r="D173" s="279" t="s">
        <v>28</v>
      </c>
      <c r="E173" s="272" t="s">
        <v>610</v>
      </c>
      <c r="F173" s="433"/>
      <c r="G173" s="430"/>
      <c r="H173" s="430"/>
      <c r="I173" s="207">
        <f>(F173-G173)*(H173/100)</f>
        <v>0</v>
      </c>
      <c r="J173" s="430"/>
      <c r="K173" s="430"/>
      <c r="L173" s="207">
        <f>(F173-J173)*(K173/100)</f>
        <v>0</v>
      </c>
      <c r="M173" s="276">
        <f>SUM(L173,I173)</f>
        <v>0</v>
      </c>
      <c r="N173" s="431"/>
      <c r="O173" s="210">
        <f t="shared" si="7"/>
        <v>0</v>
      </c>
      <c r="P173" s="213" t="s">
        <v>582</v>
      </c>
    </row>
    <row r="174" spans="1:16" s="213" customFormat="1" ht="15.75" customHeight="1">
      <c r="A174" s="286" t="s">
        <v>220</v>
      </c>
      <c r="B174" s="280" t="s">
        <v>589</v>
      </c>
      <c r="C174" s="278" t="s">
        <v>609</v>
      </c>
      <c r="D174" s="279" t="s">
        <v>29</v>
      </c>
      <c r="E174" s="268" t="s">
        <v>610</v>
      </c>
      <c r="F174" s="433"/>
      <c r="G174" s="430"/>
      <c r="H174" s="430"/>
      <c r="I174" s="207">
        <f>(F174-G174)*(H174/100)</f>
        <v>0</v>
      </c>
      <c r="J174" s="430"/>
      <c r="K174" s="430"/>
      <c r="L174" s="207">
        <f>(F174-J174)*(K174/100)</f>
        <v>0</v>
      </c>
      <c r="M174" s="276">
        <f>SUM(L174,I174)</f>
        <v>0</v>
      </c>
      <c r="N174" s="431"/>
      <c r="O174" s="210">
        <f t="shared" si="7"/>
        <v>0</v>
      </c>
      <c r="P174" s="213" t="s">
        <v>582</v>
      </c>
    </row>
    <row r="175" spans="1:16" s="213" customFormat="1" ht="15.75" customHeight="1">
      <c r="A175" s="286" t="s">
        <v>222</v>
      </c>
      <c r="B175" s="280" t="s">
        <v>591</v>
      </c>
      <c r="C175" s="278" t="s">
        <v>609</v>
      </c>
      <c r="D175" s="279" t="s">
        <v>30</v>
      </c>
      <c r="E175" s="272" t="s">
        <v>610</v>
      </c>
      <c r="F175" s="433"/>
      <c r="G175" s="430"/>
      <c r="H175" s="430"/>
      <c r="I175" s="207">
        <f>(F175-G175)*(H175/100)</f>
        <v>0</v>
      </c>
      <c r="J175" s="430"/>
      <c r="K175" s="430"/>
      <c r="L175" s="207">
        <f>(F175-J175)*(K175/100)</f>
        <v>0</v>
      </c>
      <c r="M175" s="276">
        <f>SUM(L175,I175)</f>
        <v>0</v>
      </c>
      <c r="N175" s="431"/>
      <c r="O175" s="210">
        <f t="shared" si="7"/>
        <v>0</v>
      </c>
      <c r="P175" s="213" t="s">
        <v>582</v>
      </c>
    </row>
    <row r="176" spans="1:16" s="213" customFormat="1" ht="15.75" customHeight="1">
      <c r="A176" s="286" t="s">
        <v>224</v>
      </c>
      <c r="B176" s="280" t="s">
        <v>593</v>
      </c>
      <c r="C176" s="278" t="s">
        <v>609</v>
      </c>
      <c r="D176" s="279" t="s">
        <v>31</v>
      </c>
      <c r="E176" s="268" t="s">
        <v>610</v>
      </c>
      <c r="F176" s="433"/>
      <c r="G176" s="430"/>
      <c r="H176" s="430"/>
      <c r="I176" s="207">
        <f>(F176-G176)*(H176/100)</f>
        <v>0</v>
      </c>
      <c r="J176" s="430"/>
      <c r="K176" s="430"/>
      <c r="L176" s="207">
        <f>(F176-J176)*(K176/100)</f>
        <v>0</v>
      </c>
      <c r="M176" s="276">
        <f>SUM(L176,I176)</f>
        <v>0</v>
      </c>
      <c r="N176" s="431"/>
      <c r="O176" s="210">
        <f t="shared" si="7"/>
        <v>0</v>
      </c>
      <c r="P176" s="213" t="s">
        <v>582</v>
      </c>
    </row>
    <row r="177" spans="1:16" s="213" customFormat="1" ht="15.75" customHeight="1" thickBot="1">
      <c r="A177" s="288" t="s">
        <v>226</v>
      </c>
      <c r="B177" s="289" t="s">
        <v>595</v>
      </c>
      <c r="C177" s="290" t="s">
        <v>609</v>
      </c>
      <c r="D177" s="291" t="s">
        <v>596</v>
      </c>
      <c r="E177" s="292" t="s">
        <v>610</v>
      </c>
      <c r="F177" s="434"/>
      <c r="G177" s="435"/>
      <c r="H177" s="435"/>
      <c r="I177" s="293">
        <f>(F177-G177)*(H177/100)</f>
        <v>0</v>
      </c>
      <c r="J177" s="435"/>
      <c r="K177" s="435"/>
      <c r="L177" s="293">
        <f>(F177-J177)*(K177/100)</f>
        <v>0</v>
      </c>
      <c r="M177" s="294">
        <f>SUM(L177,I177)</f>
        <v>0</v>
      </c>
      <c r="N177" s="436"/>
      <c r="O177" s="295">
        <f t="shared" si="7"/>
        <v>0</v>
      </c>
      <c r="P177" s="213" t="s">
        <v>582</v>
      </c>
    </row>
    <row r="178" spans="6:13" ht="12.75" customHeight="1">
      <c r="F178" s="192"/>
      <c r="G178" s="192"/>
      <c r="H178" s="192"/>
      <c r="I178" s="192"/>
      <c r="J178" s="192"/>
      <c r="K178" s="192"/>
      <c r="L178" s="192"/>
      <c r="M178" s="192"/>
    </row>
    <row r="179" spans="2:13" ht="15">
      <c r="B179" s="576" t="s">
        <v>1357</v>
      </c>
      <c r="C179" s="608"/>
      <c r="D179" s="607"/>
      <c r="E179" s="608" t="s">
        <v>1342</v>
      </c>
      <c r="F179" s="608"/>
      <c r="G179" s="576" t="s">
        <v>1342</v>
      </c>
      <c r="H179" s="192"/>
      <c r="I179" s="192"/>
      <c r="J179" s="192"/>
      <c r="K179" s="192"/>
      <c r="L179" s="192"/>
      <c r="M179" s="192"/>
    </row>
    <row r="180" spans="2:13" ht="12.75" customHeight="1">
      <c r="B180" s="576"/>
      <c r="C180" s="576"/>
      <c r="D180" s="576" t="s">
        <v>1288</v>
      </c>
      <c r="E180" s="576"/>
      <c r="F180" s="576"/>
      <c r="G180" s="576"/>
      <c r="H180" s="217"/>
      <c r="I180" s="217"/>
      <c r="J180" s="217"/>
      <c r="K180" s="217"/>
      <c r="L180" s="217"/>
      <c r="M180" s="217"/>
    </row>
    <row r="181" spans="2:13" ht="15">
      <c r="B181" s="576" t="s">
        <v>1347</v>
      </c>
      <c r="C181" s="576"/>
      <c r="D181" s="576"/>
      <c r="E181" s="576"/>
      <c r="F181" s="576"/>
      <c r="G181" s="576"/>
      <c r="H181" s="217"/>
      <c r="I181" s="217"/>
      <c r="J181" s="217"/>
      <c r="K181" s="217"/>
      <c r="L181" s="217"/>
      <c r="M181" s="217"/>
    </row>
    <row r="182" spans="6:13" ht="12.75">
      <c r="F182" s="217"/>
      <c r="G182" s="217"/>
      <c r="H182" s="217"/>
      <c r="I182" s="217"/>
      <c r="J182" s="217"/>
      <c r="K182" s="217"/>
      <c r="L182" s="217"/>
      <c r="M182" s="217"/>
    </row>
    <row r="183" spans="6:13" ht="12.75">
      <c r="F183" s="217"/>
      <c r="G183" s="217"/>
      <c r="H183" s="217"/>
      <c r="I183" s="217"/>
      <c r="J183" s="217"/>
      <c r="K183" s="217"/>
      <c r="L183" s="217"/>
      <c r="M183" s="217"/>
    </row>
  </sheetData>
  <sheetProtection formatColumns="0" formatRows="0"/>
  <mergeCells count="3">
    <mergeCell ref="A4:O4"/>
    <mergeCell ref="N6:O6"/>
    <mergeCell ref="B2:K2"/>
  </mergeCells>
  <dataValidations count="1">
    <dataValidation type="decimal" allowBlank="1" showInputMessage="1" showErrorMessage="1" error="Ввведеное значение неверно" sqref="J173:K177 F173:H177 N173:N177 J167:K171 F167:H171 N167:N171 F149:H153 N149:N153 F143:H147 F131:H135 N131:N135 K125:K129 K95:K99 H113:H117 N94:N129 H95:H99 J14:J25 F45:H49 N45:N49 F161:H165 J39:K43 F39:H43 N39:N43 J33:K37 F33:H37 N33:N37 J27:K31 F27:H31 N27:N31 K21:K25 H21:H25 K15:K19 H15:H19 F14:G25 N14:N25 H101:H105 K101:K105 J94:J129 H119:H123 K107:K111 H107:H111 K113:K117 K119:K123 F94:G129 H125:H129 J131:K135 N137:N141 J137:K141 F137:H141 N143:N147 J143:K147 J149:K153 N155:N159 J155:K159 F155:H159 N161:N165 J161:K165 J45:K49 J53:J64 F84:H88 N84:N88 J78:K82 F78:H82 N78:N82 J72:K76 F72:H76 N72:N76 J66:K70 F66:H70 N66:N70 K60:K64 H60:H64 K54:K58 H54:H58 F53:G64 N53:N64 J84:K88">
      <formula1>-1000000000000000</formula1>
      <formula2>1000000000000000</formula2>
    </dataValidation>
  </dataValidations>
  <printOptions/>
  <pageMargins left="0.7480314960629921" right="0.7480314960629921" top="0.984251968503937" bottom="0.984251968503937" header="0.5118110236220472" footer="0.5118110236220472"/>
  <pageSetup fitToHeight="3" fitToWidth="1" horizontalDpi="600" verticalDpi="600" orientation="portrait" paperSize="9" scale="4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19"/>
  <dimension ref="A6:AE108"/>
  <sheetViews>
    <sheetView zoomScalePageLayoutView="0" workbookViewId="0" topLeftCell="A1">
      <selection activeCell="K6" sqref="K6:K7"/>
    </sheetView>
  </sheetViews>
  <sheetFormatPr defaultColWidth="9.140625" defaultRowHeight="11.25"/>
  <cols>
    <col min="2" max="2" width="23.140625" style="0" customWidth="1"/>
    <col min="5" max="5" width="11.57421875" style="0" bestFit="1" customWidth="1"/>
  </cols>
  <sheetData>
    <row r="6" spans="3:11" ht="11.25">
      <c r="C6" t="s">
        <v>616</v>
      </c>
      <c r="K6" t="s">
        <v>902</v>
      </c>
    </row>
    <row r="7" spans="3:11" ht="11.25">
      <c r="C7" t="s">
        <v>617</v>
      </c>
      <c r="K7" t="s">
        <v>903</v>
      </c>
    </row>
    <row r="8" ht="11.25">
      <c r="C8" t="s">
        <v>618</v>
      </c>
    </row>
    <row r="9" ht="11.25">
      <c r="C9" t="s">
        <v>619</v>
      </c>
    </row>
    <row r="10" ht="11.25">
      <c r="C10" t="s">
        <v>621</v>
      </c>
    </row>
    <row r="11" ht="11.25">
      <c r="C11" t="s">
        <v>622</v>
      </c>
    </row>
    <row r="12" ht="11.25">
      <c r="C12" t="s">
        <v>623</v>
      </c>
    </row>
    <row r="13" ht="11.25">
      <c r="C13" t="s">
        <v>624</v>
      </c>
    </row>
    <row r="14" ht="11.25">
      <c r="C14" t="s">
        <v>625</v>
      </c>
    </row>
    <row r="15" ht="11.25">
      <c r="C15" t="s">
        <v>626</v>
      </c>
    </row>
    <row r="16" ht="11.25">
      <c r="C16" t="s">
        <v>922</v>
      </c>
    </row>
    <row r="17" ht="11.25">
      <c r="C17" t="s">
        <v>620</v>
      </c>
    </row>
    <row r="18" ht="11.25">
      <c r="C18" t="s">
        <v>676</v>
      </c>
    </row>
    <row r="19" ht="11.25">
      <c r="C19" t="s">
        <v>627</v>
      </c>
    </row>
    <row r="20" ht="11.25">
      <c r="C20" t="s">
        <v>923</v>
      </c>
    </row>
    <row r="21" ht="11.25">
      <c r="C21" t="s">
        <v>628</v>
      </c>
    </row>
    <row r="22" ht="11.25">
      <c r="C22" t="s">
        <v>629</v>
      </c>
    </row>
    <row r="23" ht="11.25">
      <c r="C23" t="s">
        <v>630</v>
      </c>
    </row>
    <row r="24" ht="11.25">
      <c r="C24" t="s">
        <v>631</v>
      </c>
    </row>
    <row r="25" ht="11.25">
      <c r="C25" t="s">
        <v>632</v>
      </c>
    </row>
    <row r="26" ht="11.25">
      <c r="C26" t="s">
        <v>924</v>
      </c>
    </row>
    <row r="27" ht="11.25">
      <c r="C27" t="s">
        <v>633</v>
      </c>
    </row>
    <row r="28" ht="11.25">
      <c r="C28" t="s">
        <v>634</v>
      </c>
    </row>
    <row r="29" ht="11.25">
      <c r="C29" t="s">
        <v>635</v>
      </c>
    </row>
    <row r="30" ht="11.25">
      <c r="C30" t="s">
        <v>636</v>
      </c>
    </row>
    <row r="31" ht="11.25">
      <c r="C31" t="s">
        <v>637</v>
      </c>
    </row>
    <row r="32" ht="11.25">
      <c r="C32" t="s">
        <v>638</v>
      </c>
    </row>
    <row r="33" ht="11.25">
      <c r="C33" t="s">
        <v>639</v>
      </c>
    </row>
    <row r="34" ht="11.25">
      <c r="C34" t="s">
        <v>640</v>
      </c>
    </row>
    <row r="35" ht="11.25">
      <c r="C35" t="s">
        <v>641</v>
      </c>
    </row>
    <row r="36" ht="11.25">
      <c r="C36" t="s">
        <v>642</v>
      </c>
    </row>
    <row r="37" ht="11.25">
      <c r="C37" t="s">
        <v>643</v>
      </c>
    </row>
    <row r="38" ht="11.25">
      <c r="C38" t="s">
        <v>644</v>
      </c>
    </row>
    <row r="39" ht="11.25">
      <c r="C39" t="s">
        <v>645</v>
      </c>
    </row>
    <row r="40" ht="11.25">
      <c r="C40" t="s">
        <v>646</v>
      </c>
    </row>
    <row r="41" ht="11.25">
      <c r="C41" t="s">
        <v>647</v>
      </c>
    </row>
    <row r="42" ht="11.25">
      <c r="C42" t="s">
        <v>648</v>
      </c>
    </row>
    <row r="43" ht="11.25">
      <c r="C43" t="s">
        <v>649</v>
      </c>
    </row>
    <row r="44" ht="11.25">
      <c r="C44" t="s">
        <v>650</v>
      </c>
    </row>
    <row r="45" ht="11.25">
      <c r="C45" t="s">
        <v>651</v>
      </c>
    </row>
    <row r="46" ht="11.25">
      <c r="C46" t="s">
        <v>652</v>
      </c>
    </row>
    <row r="47" ht="11.25">
      <c r="C47" t="s">
        <v>653</v>
      </c>
    </row>
    <row r="48" ht="11.25">
      <c r="C48" t="s">
        <v>654</v>
      </c>
    </row>
    <row r="49" ht="11.25">
      <c r="C49" t="s">
        <v>655</v>
      </c>
    </row>
    <row r="50" ht="11.25">
      <c r="C50" t="s">
        <v>656</v>
      </c>
    </row>
    <row r="51" ht="11.25">
      <c r="C51" t="s">
        <v>657</v>
      </c>
    </row>
    <row r="52" ht="11.25">
      <c r="C52" t="s">
        <v>658</v>
      </c>
    </row>
    <row r="53" ht="11.25">
      <c r="C53" t="s">
        <v>659</v>
      </c>
    </row>
    <row r="54" ht="11.25">
      <c r="C54" t="s">
        <v>660</v>
      </c>
    </row>
    <row r="55" ht="11.25">
      <c r="C55" t="s">
        <v>661</v>
      </c>
    </row>
    <row r="56" ht="11.25">
      <c r="C56" t="s">
        <v>662</v>
      </c>
    </row>
    <row r="57" ht="11.25">
      <c r="C57" t="s">
        <v>663</v>
      </c>
    </row>
    <row r="58" ht="11.25">
      <c r="C58" t="s">
        <v>664</v>
      </c>
    </row>
    <row r="59" ht="11.25">
      <c r="C59" t="s">
        <v>665</v>
      </c>
    </row>
    <row r="60" ht="11.25">
      <c r="C60" t="s">
        <v>666</v>
      </c>
    </row>
    <row r="61" ht="11.25">
      <c r="C61" t="s">
        <v>667</v>
      </c>
    </row>
    <row r="62" ht="11.25">
      <c r="C62" t="s">
        <v>668</v>
      </c>
    </row>
    <row r="63" ht="11.25">
      <c r="C63" t="s">
        <v>669</v>
      </c>
    </row>
    <row r="64" ht="11.25">
      <c r="C64" t="s">
        <v>670</v>
      </c>
    </row>
    <row r="65" ht="11.25">
      <c r="C65" t="s">
        <v>671</v>
      </c>
    </row>
    <row r="66" ht="11.25">
      <c r="C66" t="s">
        <v>672</v>
      </c>
    </row>
    <row r="67" ht="11.25">
      <c r="C67" t="s">
        <v>673</v>
      </c>
    </row>
    <row r="68" ht="11.25">
      <c r="C68" t="s">
        <v>674</v>
      </c>
    </row>
    <row r="69" ht="11.25">
      <c r="C69" t="s">
        <v>675</v>
      </c>
    </row>
    <row r="70" ht="11.25">
      <c r="C70" t="s">
        <v>677</v>
      </c>
    </row>
    <row r="71" ht="11.25">
      <c r="C71" t="s">
        <v>678</v>
      </c>
    </row>
    <row r="72" ht="11.25">
      <c r="C72" t="s">
        <v>679</v>
      </c>
    </row>
    <row r="73" ht="11.25">
      <c r="C73" t="s">
        <v>680</v>
      </c>
    </row>
    <row r="74" ht="11.25">
      <c r="C74" t="s">
        <v>681</v>
      </c>
    </row>
    <row r="75" ht="11.25">
      <c r="C75" t="s">
        <v>682</v>
      </c>
    </row>
    <row r="76" ht="11.25">
      <c r="C76" t="s">
        <v>683</v>
      </c>
    </row>
    <row r="77" ht="11.25">
      <c r="C77" t="s">
        <v>684</v>
      </c>
    </row>
    <row r="78" ht="11.25">
      <c r="C78" t="s">
        <v>685</v>
      </c>
    </row>
    <row r="79" ht="11.25">
      <c r="C79" t="s">
        <v>686</v>
      </c>
    </row>
    <row r="80" ht="11.25">
      <c r="C80" t="s">
        <v>687</v>
      </c>
    </row>
    <row r="81" ht="11.25">
      <c r="C81" t="s">
        <v>688</v>
      </c>
    </row>
    <row r="82" ht="11.25">
      <c r="C82" t="s">
        <v>689</v>
      </c>
    </row>
    <row r="83" ht="11.25">
      <c r="C83" t="s">
        <v>690</v>
      </c>
    </row>
    <row r="84" ht="11.25">
      <c r="C84" t="s">
        <v>691</v>
      </c>
    </row>
    <row r="85" ht="11.25">
      <c r="C85" t="s">
        <v>692</v>
      </c>
    </row>
    <row r="86" ht="11.25">
      <c r="C86" t="s">
        <v>693</v>
      </c>
    </row>
    <row r="87" ht="11.25">
      <c r="C87" t="s">
        <v>694</v>
      </c>
    </row>
    <row r="88" ht="11.25">
      <c r="C88" t="s">
        <v>695</v>
      </c>
    </row>
    <row r="89" ht="11.25">
      <c r="C89" t="s">
        <v>696</v>
      </c>
    </row>
    <row r="92" spans="1:31" s="367" customFormat="1" ht="27" customHeight="1">
      <c r="A92" s="447" t="s">
        <v>948</v>
      </c>
      <c r="B92" s="439" t="s">
        <v>942</v>
      </c>
      <c r="C92" s="450">
        <f>SUMIF($A92:$A96,"= 1.1",C92:C97)</f>
        <v>0</v>
      </c>
      <c r="D92" s="450">
        <f aca="true" t="shared" si="0" ref="D92:AA92">SUMIF($A92:$A96,"= 1.1",D92:D97)</f>
        <v>0</v>
      </c>
      <c r="E92" s="450">
        <f t="shared" si="0"/>
        <v>0</v>
      </c>
      <c r="F92" s="450">
        <f t="shared" si="0"/>
        <v>0</v>
      </c>
      <c r="G92" s="450">
        <f t="shared" si="0"/>
        <v>0</v>
      </c>
      <c r="H92" s="450">
        <f t="shared" si="0"/>
        <v>0</v>
      </c>
      <c r="I92" s="450">
        <f t="shared" si="0"/>
        <v>0</v>
      </c>
      <c r="J92" s="450">
        <f t="shared" si="0"/>
        <v>0</v>
      </c>
      <c r="K92" s="450">
        <f t="shared" si="0"/>
        <v>0</v>
      </c>
      <c r="L92" s="450">
        <f t="shared" si="0"/>
        <v>0</v>
      </c>
      <c r="M92" s="450">
        <f t="shared" si="0"/>
        <v>0</v>
      </c>
      <c r="N92" s="450">
        <f t="shared" si="0"/>
        <v>0</v>
      </c>
      <c r="O92" s="450">
        <f t="shared" si="0"/>
        <v>0</v>
      </c>
      <c r="P92" s="450">
        <f t="shared" si="0"/>
        <v>0</v>
      </c>
      <c r="Q92" s="450">
        <f t="shared" si="0"/>
        <v>0</v>
      </c>
      <c r="R92" s="450">
        <f t="shared" si="0"/>
        <v>0</v>
      </c>
      <c r="S92" s="450">
        <f t="shared" si="0"/>
        <v>0</v>
      </c>
      <c r="T92" s="450">
        <f t="shared" si="0"/>
        <v>0</v>
      </c>
      <c r="U92" s="450">
        <f t="shared" si="0"/>
        <v>0</v>
      </c>
      <c r="V92" s="450">
        <f t="shared" si="0"/>
        <v>0</v>
      </c>
      <c r="W92" s="450">
        <f t="shared" si="0"/>
        <v>0</v>
      </c>
      <c r="X92" s="450">
        <f t="shared" si="0"/>
        <v>0</v>
      </c>
      <c r="Y92" s="450">
        <f t="shared" si="0"/>
        <v>0</v>
      </c>
      <c r="Z92" s="450">
        <f t="shared" si="0"/>
        <v>0</v>
      </c>
      <c r="AA92" s="450">
        <f t="shared" si="0"/>
        <v>0</v>
      </c>
      <c r="AB92" s="438">
        <f>IF(E92=0,0,(G92/E92*100))</f>
        <v>0</v>
      </c>
      <c r="AC92" s="438">
        <f>IF(F92=0,0,(G92/F92*100))</f>
        <v>0</v>
      </c>
      <c r="AD92" s="438">
        <f>IF(C92=0,0,(G92/C92*100))</f>
        <v>0</v>
      </c>
      <c r="AE92" s="438">
        <f>IF(D92=0,0,(G92/D92*100))</f>
        <v>0</v>
      </c>
    </row>
    <row r="93" spans="1:31" s="367" customFormat="1" ht="35.25" customHeight="1">
      <c r="A93" s="447" t="s">
        <v>946</v>
      </c>
      <c r="B93" s="439" t="s">
        <v>943</v>
      </c>
      <c r="C93" s="449">
        <f>SUM(C94:C95)</f>
        <v>0</v>
      </c>
      <c r="D93" s="449">
        <f aca="true" t="shared" si="1" ref="D93:AA93">SUM(D94:D95)</f>
        <v>0</v>
      </c>
      <c r="E93" s="449">
        <f t="shared" si="1"/>
        <v>0</v>
      </c>
      <c r="F93" s="449">
        <f t="shared" si="1"/>
        <v>0</v>
      </c>
      <c r="G93" s="449">
        <f t="shared" si="1"/>
        <v>0</v>
      </c>
      <c r="H93" s="449">
        <f t="shared" si="1"/>
        <v>0</v>
      </c>
      <c r="I93" s="449">
        <f t="shared" si="1"/>
        <v>0</v>
      </c>
      <c r="J93" s="449">
        <f t="shared" si="1"/>
        <v>0</v>
      </c>
      <c r="K93" s="449">
        <f t="shared" si="1"/>
        <v>0</v>
      </c>
      <c r="L93" s="449">
        <f t="shared" si="1"/>
        <v>0</v>
      </c>
      <c r="M93" s="449">
        <f t="shared" si="1"/>
        <v>0</v>
      </c>
      <c r="N93" s="449">
        <f t="shared" si="1"/>
        <v>0</v>
      </c>
      <c r="O93" s="449">
        <f t="shared" si="1"/>
        <v>0</v>
      </c>
      <c r="P93" s="449">
        <f t="shared" si="1"/>
        <v>0</v>
      </c>
      <c r="Q93" s="449">
        <f t="shared" si="1"/>
        <v>0</v>
      </c>
      <c r="R93" s="449">
        <f t="shared" si="1"/>
        <v>0</v>
      </c>
      <c r="S93" s="449">
        <f t="shared" si="1"/>
        <v>0</v>
      </c>
      <c r="T93" s="449">
        <f t="shared" si="1"/>
        <v>0</v>
      </c>
      <c r="U93" s="449">
        <f t="shared" si="1"/>
        <v>0</v>
      </c>
      <c r="V93" s="449">
        <f t="shared" si="1"/>
        <v>0</v>
      </c>
      <c r="W93" s="449">
        <f t="shared" si="1"/>
        <v>0</v>
      </c>
      <c r="X93" s="449">
        <f t="shared" si="1"/>
        <v>0</v>
      </c>
      <c r="Y93" s="449">
        <f t="shared" si="1"/>
        <v>0</v>
      </c>
      <c r="Z93" s="449">
        <f t="shared" si="1"/>
        <v>0</v>
      </c>
      <c r="AA93" s="449">
        <f t="shared" si="1"/>
        <v>0</v>
      </c>
      <c r="AB93" s="438">
        <f>IF(E93=0,0,(G93/E93*100))</f>
        <v>0</v>
      </c>
      <c r="AC93" s="438">
        <f>IF(F93=0,0,(G93/F93*100))</f>
        <v>0</v>
      </c>
      <c r="AD93" s="438">
        <f>IF(C93=0,0,(G93/C93*100))</f>
        <v>0</v>
      </c>
      <c r="AE93" s="438">
        <f>IF(D93=0,0,(G93/D93*100))</f>
        <v>0</v>
      </c>
    </row>
    <row r="94" spans="1:31" s="367" customFormat="1" ht="23.25" customHeight="1" thickBot="1">
      <c r="A94" s="448" t="s">
        <v>947</v>
      </c>
      <c r="B94" s="437" t="s">
        <v>921</v>
      </c>
      <c r="C94" s="442"/>
      <c r="D94" s="443"/>
      <c r="E94" s="443"/>
      <c r="F94" s="443"/>
      <c r="G94" s="443"/>
      <c r="H94" s="443"/>
      <c r="I94" s="443"/>
      <c r="J94" s="443"/>
      <c r="K94" s="443"/>
      <c r="L94" s="443"/>
      <c r="M94" s="443"/>
      <c r="N94" s="443"/>
      <c r="O94" s="443"/>
      <c r="P94" s="443"/>
      <c r="Q94" s="443"/>
      <c r="R94" s="443"/>
      <c r="S94" s="443"/>
      <c r="T94" s="443"/>
      <c r="U94" s="443"/>
      <c r="V94" s="443"/>
      <c r="W94" s="443"/>
      <c r="X94" s="443"/>
      <c r="Y94" s="443"/>
      <c r="Z94" s="443"/>
      <c r="AA94" s="443"/>
      <c r="AB94" s="441">
        <f>IF(E94=0,0,(G94/E94*100))</f>
        <v>0</v>
      </c>
      <c r="AC94" s="441">
        <f>IF(F94=0,0,(G94/F94*100))</f>
        <v>0</v>
      </c>
      <c r="AD94" s="441">
        <f>IF(C94=0,0,(G94/C94*100))</f>
        <v>0</v>
      </c>
      <c r="AE94" s="441">
        <f>IF(D94=0,0,(G94/D94*100))</f>
        <v>0</v>
      </c>
    </row>
    <row r="95" spans="1:31" s="367" customFormat="1" ht="14.25" customHeight="1" thickBot="1">
      <c r="A95" s="867" t="s">
        <v>944</v>
      </c>
      <c r="B95" s="868"/>
      <c r="C95" s="868"/>
      <c r="D95" s="868"/>
      <c r="E95" s="868"/>
      <c r="F95" s="868"/>
      <c r="G95" s="868"/>
      <c r="H95" s="868"/>
      <c r="I95" s="868"/>
      <c r="J95" s="868"/>
      <c r="K95" s="868"/>
      <c r="L95" s="868"/>
      <c r="M95" s="868"/>
      <c r="N95" s="868"/>
      <c r="O95" s="868"/>
      <c r="P95" s="868"/>
      <c r="Q95" s="868"/>
      <c r="R95" s="868"/>
      <c r="S95" s="868"/>
      <c r="T95" s="868"/>
      <c r="U95" s="868"/>
      <c r="V95" s="868"/>
      <c r="W95" s="868"/>
      <c r="X95" s="868"/>
      <c r="Y95" s="868"/>
      <c r="Z95" s="868"/>
      <c r="AA95" s="868"/>
      <c r="AB95" s="868"/>
      <c r="AC95" s="868"/>
      <c r="AD95" s="868"/>
      <c r="AE95" s="869"/>
    </row>
    <row r="96" spans="1:31" s="367" customFormat="1" ht="14.25" customHeight="1" thickBot="1">
      <c r="A96" s="900" t="s">
        <v>945</v>
      </c>
      <c r="B96" s="868"/>
      <c r="C96" s="868"/>
      <c r="D96" s="868"/>
      <c r="E96" s="868"/>
      <c r="F96" s="868"/>
      <c r="G96" s="868"/>
      <c r="H96" s="868"/>
      <c r="I96" s="868"/>
      <c r="J96" s="868"/>
      <c r="K96" s="868"/>
      <c r="L96" s="868"/>
      <c r="M96" s="868"/>
      <c r="N96" s="868"/>
      <c r="O96" s="868"/>
      <c r="P96" s="868"/>
      <c r="Q96" s="868"/>
      <c r="R96" s="868"/>
      <c r="S96" s="868"/>
      <c r="T96" s="868"/>
      <c r="U96" s="868"/>
      <c r="V96" s="868"/>
      <c r="W96" s="868"/>
      <c r="X96" s="868"/>
      <c r="Y96" s="868"/>
      <c r="Z96" s="868"/>
      <c r="AA96" s="868"/>
      <c r="AB96" s="868"/>
      <c r="AC96" s="868"/>
      <c r="AD96" s="868"/>
      <c r="AE96" s="869"/>
    </row>
    <row r="102" spans="1:31" ht="33.75">
      <c r="A102" s="447" t="s">
        <v>946</v>
      </c>
      <c r="B102" s="439" t="s">
        <v>943</v>
      </c>
      <c r="C102" s="440">
        <f>SUM(C103:C104)</f>
        <v>0</v>
      </c>
      <c r="D102" s="440">
        <f aca="true" t="shared" si="2" ref="D102:AA102">SUM(D103:D104)</f>
        <v>0</v>
      </c>
      <c r="E102" s="440">
        <f t="shared" si="2"/>
        <v>0</v>
      </c>
      <c r="F102" s="440">
        <f t="shared" si="2"/>
        <v>0</v>
      </c>
      <c r="G102" s="440">
        <f t="shared" si="2"/>
        <v>0</v>
      </c>
      <c r="H102" s="440">
        <f t="shared" si="2"/>
        <v>0</v>
      </c>
      <c r="I102" s="440">
        <f t="shared" si="2"/>
        <v>0</v>
      </c>
      <c r="J102" s="440">
        <f t="shared" si="2"/>
        <v>0</v>
      </c>
      <c r="K102" s="440">
        <f t="shared" si="2"/>
        <v>0</v>
      </c>
      <c r="L102" s="440">
        <f t="shared" si="2"/>
        <v>0</v>
      </c>
      <c r="M102" s="440">
        <f t="shared" si="2"/>
        <v>0</v>
      </c>
      <c r="N102" s="440">
        <f t="shared" si="2"/>
        <v>0</v>
      </c>
      <c r="O102" s="440">
        <f t="shared" si="2"/>
        <v>0</v>
      </c>
      <c r="P102" s="440">
        <f t="shared" si="2"/>
        <v>0</v>
      </c>
      <c r="Q102" s="440">
        <f t="shared" si="2"/>
        <v>0</v>
      </c>
      <c r="R102" s="440">
        <f t="shared" si="2"/>
        <v>0</v>
      </c>
      <c r="S102" s="440">
        <f t="shared" si="2"/>
        <v>0</v>
      </c>
      <c r="T102" s="440">
        <f t="shared" si="2"/>
        <v>0</v>
      </c>
      <c r="U102" s="440">
        <f t="shared" si="2"/>
        <v>0</v>
      </c>
      <c r="V102" s="440">
        <f t="shared" si="2"/>
        <v>0</v>
      </c>
      <c r="W102" s="440">
        <f t="shared" si="2"/>
        <v>0</v>
      </c>
      <c r="X102" s="440">
        <f t="shared" si="2"/>
        <v>0</v>
      </c>
      <c r="Y102" s="440">
        <f t="shared" si="2"/>
        <v>0</v>
      </c>
      <c r="Z102" s="440">
        <f t="shared" si="2"/>
        <v>0</v>
      </c>
      <c r="AA102" s="440">
        <f t="shared" si="2"/>
        <v>0</v>
      </c>
      <c r="AB102" s="438">
        <f>IF(E102=0,0,(G102/E102*100))</f>
        <v>0</v>
      </c>
      <c r="AC102" s="438">
        <f>IF(F102=0,0,(H102/F102*100))</f>
        <v>0</v>
      </c>
      <c r="AD102" s="438">
        <f>IF(G102=0,0,(I102/G102*100))</f>
        <v>0</v>
      </c>
      <c r="AE102" s="438">
        <f>IF(H102=0,0,(J102/H102*100))</f>
        <v>0</v>
      </c>
    </row>
    <row r="103" spans="1:31" ht="12" thickBot="1">
      <c r="A103" s="448" t="s">
        <v>947</v>
      </c>
      <c r="B103" s="437" t="s">
        <v>921</v>
      </c>
      <c r="C103" s="442"/>
      <c r="D103" s="443"/>
      <c r="E103" s="443"/>
      <c r="F103" s="443"/>
      <c r="G103" s="443"/>
      <c r="H103" s="443"/>
      <c r="I103" s="443"/>
      <c r="J103" s="443"/>
      <c r="K103" s="443"/>
      <c r="L103" s="443"/>
      <c r="M103" s="443"/>
      <c r="N103" s="443"/>
      <c r="O103" s="443"/>
      <c r="P103" s="443"/>
      <c r="Q103" s="443"/>
      <c r="R103" s="443"/>
      <c r="S103" s="443"/>
      <c r="T103" s="443"/>
      <c r="U103" s="443"/>
      <c r="V103" s="443"/>
      <c r="W103" s="443"/>
      <c r="X103" s="443"/>
      <c r="Y103" s="443"/>
      <c r="Z103" s="443"/>
      <c r="AA103" s="443"/>
      <c r="AB103" s="441">
        <f>IF(E103=0,0,(G103/E103*100))</f>
        <v>0</v>
      </c>
      <c r="AC103" s="441">
        <f>IF(F103=0,0,(G103/F103*100))</f>
        <v>0</v>
      </c>
      <c r="AD103" s="441">
        <f>IF(C103=0,0,(G103/C103*100))</f>
        <v>0</v>
      </c>
      <c r="AE103" s="441">
        <f>IF(D103=0,0,(G103/D103*100))</f>
        <v>0</v>
      </c>
    </row>
    <row r="104" spans="1:31" s="165" customFormat="1" ht="15.75" thickBot="1">
      <c r="A104" s="867" t="s">
        <v>944</v>
      </c>
      <c r="B104" s="868"/>
      <c r="C104" s="868"/>
      <c r="D104" s="868"/>
      <c r="E104" s="868"/>
      <c r="F104" s="868"/>
      <c r="G104" s="868"/>
      <c r="H104" s="868"/>
      <c r="I104" s="868"/>
      <c r="J104" s="868"/>
      <c r="K104" s="868"/>
      <c r="L104" s="868"/>
      <c r="M104" s="868"/>
      <c r="N104" s="868"/>
      <c r="O104" s="868"/>
      <c r="P104" s="868"/>
      <c r="Q104" s="868"/>
      <c r="R104" s="868"/>
      <c r="S104" s="868"/>
      <c r="T104" s="868"/>
      <c r="U104" s="868"/>
      <c r="V104" s="868"/>
      <c r="W104" s="868"/>
      <c r="X104" s="868"/>
      <c r="Y104" s="868"/>
      <c r="Z104" s="868"/>
      <c r="AA104" s="868"/>
      <c r="AB104" s="868"/>
      <c r="AC104" s="868"/>
      <c r="AD104" s="868"/>
      <c r="AE104" s="869"/>
    </row>
    <row r="108" spans="1:31" s="1" customFormat="1" ht="11.25">
      <c r="A108" s="447" t="s">
        <v>947</v>
      </c>
      <c r="B108" s="444" t="s">
        <v>921</v>
      </c>
      <c r="C108" s="445"/>
      <c r="D108" s="446"/>
      <c r="E108" s="446"/>
      <c r="F108" s="446"/>
      <c r="G108" s="446"/>
      <c r="H108" s="446"/>
      <c r="I108" s="446"/>
      <c r="J108" s="446"/>
      <c r="K108" s="446"/>
      <c r="L108" s="446"/>
      <c r="M108" s="446"/>
      <c r="N108" s="446"/>
      <c r="O108" s="446"/>
      <c r="P108" s="446"/>
      <c r="Q108" s="446"/>
      <c r="R108" s="446"/>
      <c r="S108" s="446"/>
      <c r="T108" s="446"/>
      <c r="U108" s="446"/>
      <c r="V108" s="446"/>
      <c r="W108" s="446"/>
      <c r="X108" s="446"/>
      <c r="Y108" s="446"/>
      <c r="Z108" s="446"/>
      <c r="AA108" s="446"/>
      <c r="AB108" s="438">
        <f>IF(E108=0,0,(G108/E108*100))</f>
        <v>0</v>
      </c>
      <c r="AC108" s="438">
        <f>IF(F108=0,0,(G108/F108*100))</f>
        <v>0</v>
      </c>
      <c r="AD108" s="438">
        <f>IF(C108=0,0,(G108/C108*100))</f>
        <v>0</v>
      </c>
      <c r="AE108" s="438">
        <f>IF(D108=0,0,(G108/D108*100))</f>
        <v>0</v>
      </c>
    </row>
  </sheetData>
  <sheetProtection formatColumns="0" formatRows="0"/>
  <mergeCells count="3">
    <mergeCell ref="A104:AE104"/>
    <mergeCell ref="A95:AE95"/>
    <mergeCell ref="A96:AE96"/>
  </mergeCells>
  <dataValidations count="1">
    <dataValidation type="decimal" allowBlank="1" showInputMessage="1" showErrorMessage="1" sqref="C94:AA94 C103:AA103 C108:AA108">
      <formula1>-10000000000000000</formula1>
      <formula2>10000000000000000</formula2>
    </dataValidation>
  </dataValidations>
  <hyperlinks>
    <hyperlink ref="A95:AE95" location="TEHSHEET!A1" display="Добавить работы по проекту"/>
    <hyperlink ref="A96:AE96" location="TEHSHEET!A1" display="Добавить инвестиционный проект"/>
    <hyperlink ref="A104:AE104" location="TEHSHEET!A1" display="Добавить работы по проекту"/>
  </hyperlinks>
  <printOptions/>
  <pageMargins left="0.75" right="0.75" top="1" bottom="1" header="0.5" footer="0.5"/>
  <pageSetup horizontalDpi="200" verticalDpi="2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8"/>
  <dimension ref="C3:N48"/>
  <sheetViews>
    <sheetView zoomScalePageLayoutView="0" workbookViewId="0" topLeftCell="A1">
      <selection activeCell="N32" sqref="N32"/>
    </sheetView>
  </sheetViews>
  <sheetFormatPr defaultColWidth="9.140625" defaultRowHeight="11.25"/>
  <cols>
    <col min="6" max="8" width="10.421875" style="0" customWidth="1"/>
  </cols>
  <sheetData>
    <row r="2" ht="12" thickBot="1"/>
    <row r="3" spans="3:11" ht="11.25">
      <c r="C3" s="737" t="s">
        <v>907</v>
      </c>
      <c r="D3" s="738"/>
      <c r="E3" s="738"/>
      <c r="F3" s="738"/>
      <c r="G3" s="738"/>
      <c r="H3" s="738"/>
      <c r="I3" s="738"/>
      <c r="J3" s="738"/>
      <c r="K3" s="739"/>
    </row>
    <row r="4" spans="3:11" ht="12" thickBot="1">
      <c r="C4" s="740"/>
      <c r="D4" s="741"/>
      <c r="E4" s="741"/>
      <c r="F4" s="741"/>
      <c r="G4" s="741"/>
      <c r="H4" s="741"/>
      <c r="I4" s="741"/>
      <c r="J4" s="741"/>
      <c r="K4" s="742"/>
    </row>
    <row r="9" ht="12" thickBot="1"/>
    <row r="10" spans="4:10" ht="11.25">
      <c r="D10" s="731" t="s">
        <v>615</v>
      </c>
      <c r="E10" s="732"/>
      <c r="F10" s="732"/>
      <c r="G10" s="732"/>
      <c r="H10" s="732"/>
      <c r="I10" s="732"/>
      <c r="J10" s="733"/>
    </row>
    <row r="11" spans="4:10" ht="12" thickBot="1">
      <c r="D11" s="734"/>
      <c r="E11" s="735"/>
      <c r="F11" s="735"/>
      <c r="G11" s="735"/>
      <c r="H11" s="735"/>
      <c r="I11" s="735"/>
      <c r="J11" s="736"/>
    </row>
    <row r="12" ht="12" thickBot="1"/>
    <row r="13" spans="5:14" ht="11.25">
      <c r="E13" s="725" t="s">
        <v>645</v>
      </c>
      <c r="F13" s="726"/>
      <c r="G13" s="726"/>
      <c r="H13" s="726"/>
      <c r="I13" s="727"/>
      <c r="N13" s="451"/>
    </row>
    <row r="14" spans="5:9" ht="12" thickBot="1">
      <c r="E14" s="728"/>
      <c r="F14" s="729"/>
      <c r="G14" s="729"/>
      <c r="H14" s="729"/>
      <c r="I14" s="730"/>
    </row>
    <row r="17" ht="12" thickBot="1"/>
    <row r="18" spans="4:10" ht="11.25" customHeight="1">
      <c r="D18" s="765" t="s">
        <v>950</v>
      </c>
      <c r="E18" s="766"/>
      <c r="F18" s="766"/>
      <c r="G18" s="766"/>
      <c r="H18" s="766"/>
      <c r="I18" s="766"/>
      <c r="J18" s="767"/>
    </row>
    <row r="19" spans="4:10" ht="12" customHeight="1" thickBot="1">
      <c r="D19" s="768"/>
      <c r="E19" s="769"/>
      <c r="F19" s="769"/>
      <c r="G19" s="769"/>
      <c r="H19" s="769"/>
      <c r="I19" s="769"/>
      <c r="J19" s="770"/>
    </row>
    <row r="20" spans="4:10" ht="23.25" customHeight="1" thickBot="1">
      <c r="D20" s="338" t="s">
        <v>611</v>
      </c>
      <c r="E20" s="338"/>
      <c r="F20" s="338"/>
      <c r="G20" s="338"/>
      <c r="H20" s="338"/>
      <c r="I20" s="338" t="s">
        <v>612</v>
      </c>
      <c r="J20" s="338"/>
    </row>
    <row r="21" spans="4:10" ht="11.25">
      <c r="D21" s="756" t="s">
        <v>1337</v>
      </c>
      <c r="E21" s="757"/>
      <c r="F21" s="757"/>
      <c r="G21" s="757"/>
      <c r="H21" s="758"/>
      <c r="I21" s="756" t="s">
        <v>1338</v>
      </c>
      <c r="J21" s="762"/>
    </row>
    <row r="22" spans="4:10" ht="12" thickBot="1">
      <c r="D22" s="759"/>
      <c r="E22" s="760"/>
      <c r="F22" s="760"/>
      <c r="G22" s="760"/>
      <c r="H22" s="761"/>
      <c r="I22" s="763"/>
      <c r="J22" s="764"/>
    </row>
    <row r="23" ht="12" thickBot="1"/>
    <row r="24" spans="6:8" ht="11.25">
      <c r="F24" s="744" t="s">
        <v>908</v>
      </c>
      <c r="G24" s="745"/>
      <c r="H24" s="746"/>
    </row>
    <row r="25" spans="6:8" ht="12" thickBot="1">
      <c r="F25" s="747"/>
      <c r="G25" s="748"/>
      <c r="H25" s="749"/>
    </row>
    <row r="26" ht="12" thickBot="1"/>
    <row r="27" spans="6:8" ht="11.25">
      <c r="F27" s="750" t="s">
        <v>902</v>
      </c>
      <c r="G27" s="751"/>
      <c r="H27" s="752"/>
    </row>
    <row r="28" spans="6:8" ht="12" thickBot="1">
      <c r="F28" s="753"/>
      <c r="G28" s="754"/>
      <c r="H28" s="755"/>
    </row>
    <row r="31" spans="3:11" ht="11.25" customHeight="1">
      <c r="C31" s="381"/>
      <c r="D31" s="381"/>
      <c r="E31" s="381"/>
      <c r="F31" s="381"/>
      <c r="G31" s="381"/>
      <c r="H31" s="381"/>
      <c r="I31" s="381"/>
      <c r="J31" s="381"/>
      <c r="K31" s="381"/>
    </row>
    <row r="32" spans="3:11" ht="11.25" customHeight="1">
      <c r="C32" s="381"/>
      <c r="D32" s="381"/>
      <c r="E32" s="381"/>
      <c r="F32" s="381"/>
      <c r="G32" s="381"/>
      <c r="H32" s="381"/>
      <c r="I32" s="381"/>
      <c r="J32" s="381"/>
      <c r="K32" s="381"/>
    </row>
    <row r="33" spans="3:11" ht="11.25" customHeight="1">
      <c r="C33" s="381"/>
      <c r="D33" s="381"/>
      <c r="E33" s="381"/>
      <c r="F33" s="381"/>
      <c r="G33" s="381"/>
      <c r="H33" s="381"/>
      <c r="I33" s="381"/>
      <c r="J33" s="381"/>
      <c r="K33" s="381"/>
    </row>
    <row r="34" spans="3:11" ht="11.25" customHeight="1">
      <c r="C34" s="381"/>
      <c r="D34" s="381"/>
      <c r="E34" s="381"/>
      <c r="F34" s="381"/>
      <c r="G34" s="381"/>
      <c r="H34" s="381"/>
      <c r="I34" s="381"/>
      <c r="J34" s="381"/>
      <c r="K34" s="381"/>
    </row>
    <row r="35" spans="3:11" ht="11.25" customHeight="1">
      <c r="C35" s="381"/>
      <c r="D35" s="381"/>
      <c r="E35" s="381"/>
      <c r="F35" s="381"/>
      <c r="G35" s="381"/>
      <c r="H35" s="381"/>
      <c r="I35" s="381"/>
      <c r="J35" s="381"/>
      <c r="K35" s="381"/>
    </row>
    <row r="36" spans="3:11" ht="11.25" customHeight="1">
      <c r="C36" s="381"/>
      <c r="D36" s="381"/>
      <c r="E36" s="381"/>
      <c r="F36" s="381"/>
      <c r="G36" s="381"/>
      <c r="H36" s="381"/>
      <c r="I36" s="381"/>
      <c r="J36" s="381"/>
      <c r="K36" s="381"/>
    </row>
    <row r="37" spans="3:11" ht="11.25" customHeight="1">
      <c r="C37" s="381"/>
      <c r="D37" s="381"/>
      <c r="E37" s="381"/>
      <c r="F37" s="381"/>
      <c r="G37" s="381"/>
      <c r="H37" s="381"/>
      <c r="I37" s="381"/>
      <c r="J37" s="381"/>
      <c r="K37" s="381"/>
    </row>
    <row r="38" spans="3:11" ht="11.25" customHeight="1">
      <c r="C38" s="381"/>
      <c r="D38" s="381"/>
      <c r="E38" s="381"/>
      <c r="F38" s="381"/>
      <c r="G38" s="381"/>
      <c r="H38" s="381"/>
      <c r="I38" s="381"/>
      <c r="J38" s="381"/>
      <c r="K38" s="381"/>
    </row>
    <row r="39" spans="3:11" ht="11.25" customHeight="1">
      <c r="C39" s="381"/>
      <c r="D39" s="381"/>
      <c r="E39" s="381"/>
      <c r="F39" s="381"/>
      <c r="G39" s="381"/>
      <c r="H39" s="381"/>
      <c r="I39" s="381"/>
      <c r="J39" s="381"/>
      <c r="K39" s="381"/>
    </row>
    <row r="40" spans="3:11" ht="11.25">
      <c r="C40" s="165"/>
      <c r="D40" s="165"/>
      <c r="E40" s="165"/>
      <c r="F40" s="165"/>
      <c r="G40" s="165"/>
      <c r="H40" s="165"/>
      <c r="I40" s="165"/>
      <c r="J40" s="165"/>
      <c r="K40" s="165"/>
    </row>
    <row r="41" spans="3:11" ht="11.25">
      <c r="C41" s="165"/>
      <c r="D41" s="165"/>
      <c r="E41" s="165"/>
      <c r="F41" s="165"/>
      <c r="G41" s="165"/>
      <c r="H41" s="165"/>
      <c r="I41" s="165"/>
      <c r="J41" s="165"/>
      <c r="K41" s="165"/>
    </row>
    <row r="42" spans="3:11" ht="11.25">
      <c r="C42" s="165"/>
      <c r="D42" s="743"/>
      <c r="E42" s="743"/>
      <c r="F42" s="743"/>
      <c r="G42" s="743"/>
      <c r="H42" s="743"/>
      <c r="I42" s="743"/>
      <c r="J42" s="743"/>
      <c r="K42" s="165"/>
    </row>
    <row r="43" spans="3:11" ht="11.25">
      <c r="C43" s="165"/>
      <c r="D43" s="165"/>
      <c r="E43" s="165"/>
      <c r="F43" s="165"/>
      <c r="G43" s="165"/>
      <c r="H43" s="165"/>
      <c r="I43" s="165"/>
      <c r="J43" s="165"/>
      <c r="K43" s="165"/>
    </row>
    <row r="44" spans="3:11" ht="11.25">
      <c r="C44" s="165"/>
      <c r="D44" s="165"/>
      <c r="E44" s="165"/>
      <c r="F44" s="165"/>
      <c r="G44" s="165"/>
      <c r="H44" s="165"/>
      <c r="I44" s="165"/>
      <c r="J44" s="165"/>
      <c r="K44" s="165"/>
    </row>
    <row r="45" spans="3:11" ht="11.25">
      <c r="C45" s="165"/>
      <c r="D45" s="165"/>
      <c r="E45" s="165"/>
      <c r="F45" s="165"/>
      <c r="G45" s="165"/>
      <c r="H45" s="165"/>
      <c r="I45" s="165"/>
      <c r="J45" s="165"/>
      <c r="K45" s="165"/>
    </row>
    <row r="46" spans="3:11" ht="11.25">
      <c r="C46" s="165"/>
      <c r="D46" s="165"/>
      <c r="E46" s="165"/>
      <c r="F46" s="165"/>
      <c r="G46" s="165"/>
      <c r="H46" s="165"/>
      <c r="I46" s="165"/>
      <c r="J46" s="165"/>
      <c r="K46" s="165"/>
    </row>
    <row r="47" spans="3:11" ht="11.25">
      <c r="C47" s="165"/>
      <c r="D47" s="165"/>
      <c r="E47" s="165"/>
      <c r="F47" s="165"/>
      <c r="G47" s="165"/>
      <c r="H47" s="165"/>
      <c r="I47" s="165"/>
      <c r="J47" s="165"/>
      <c r="K47" s="165"/>
    </row>
    <row r="48" spans="3:11" ht="11.25">
      <c r="C48" s="165"/>
      <c r="D48" s="165"/>
      <c r="E48" s="165"/>
      <c r="F48" s="165"/>
      <c r="G48" s="165"/>
      <c r="H48" s="165"/>
      <c r="I48" s="165"/>
      <c r="J48" s="165"/>
      <c r="K48" s="165"/>
    </row>
  </sheetData>
  <sheetProtection formatColumns="0" formatRows="0"/>
  <mergeCells count="9">
    <mergeCell ref="E13:I14"/>
    <mergeCell ref="D10:J11"/>
    <mergeCell ref="C3:K4"/>
    <mergeCell ref="D42:J42"/>
    <mergeCell ref="F24:H25"/>
    <mergeCell ref="F27:H28"/>
    <mergeCell ref="D21:H22"/>
    <mergeCell ref="I21:J22"/>
    <mergeCell ref="D18:J19"/>
  </mergeCells>
  <dataValidations count="3">
    <dataValidation type="list" allowBlank="1" showInputMessage="1" showErrorMessage="1" sqref="E13:I14">
      <formula1>REGIONS</formula1>
    </dataValidation>
    <dataValidation type="textLength" allowBlank="1" showInputMessage="1" showErrorMessage="1" sqref="I21:J22">
      <formula1>10</formula1>
      <formula2>12</formula2>
    </dataValidation>
    <dataValidation type="list" allowBlank="1" showInputMessage="1" showErrorMessage="1" sqref="F27:H28">
      <formula1>SCENARIOS</formula1>
    </dataValidation>
  </dataValidations>
  <printOptions/>
  <pageMargins left="0.7480314960629921" right="0.7480314960629921" top="0.984251968503937" bottom="0.984251968503937" header="0.5118110236220472" footer="0.5118110236220472"/>
  <pageSetup horizontalDpi="200" verticalDpi="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"/>
  <dimension ref="A1:AJ25"/>
  <sheetViews>
    <sheetView view="pageBreakPreview" zoomScale="90" zoomScaleNormal="90" zoomScaleSheetLayoutView="90" zoomScalePageLayoutView="0" workbookViewId="0" topLeftCell="A2">
      <pane xSplit="4" topLeftCell="E1" activePane="topRight" state="frozen"/>
      <selection pane="topLeft" activeCell="F41" sqref="F41"/>
      <selection pane="topRight" activeCell="P24" sqref="P24"/>
    </sheetView>
  </sheetViews>
  <sheetFormatPr defaultColWidth="9.140625" defaultRowHeight="11.25"/>
  <cols>
    <col min="1" max="1" width="4.7109375" style="0" customWidth="1"/>
    <col min="2" max="2" width="40.7109375" style="0" customWidth="1"/>
    <col min="3" max="3" width="5.421875" style="0" hidden="1" customWidth="1"/>
    <col min="4" max="4" width="7.421875" style="0" customWidth="1"/>
    <col min="5" max="5" width="10.00390625" style="0" customWidth="1"/>
    <col min="6" max="9" width="8.28125" style="0" customWidth="1"/>
    <col min="10" max="10" width="11.140625" style="0" customWidth="1"/>
    <col min="11" max="21" width="8.28125" style="0" customWidth="1"/>
    <col min="22" max="22" width="11.140625" style="0" customWidth="1"/>
    <col min="23" max="23" width="10.7109375" style="0" customWidth="1"/>
    <col min="24" max="24" width="12.140625" style="0" customWidth="1"/>
    <col min="25" max="25" width="8.28125" style="0" customWidth="1"/>
    <col min="26" max="26" width="12.140625" style="0" customWidth="1"/>
    <col min="27" max="27" width="11.00390625" style="0" customWidth="1"/>
    <col min="28" max="28" width="11.140625" style="0" customWidth="1"/>
    <col min="29" max="32" width="8.28125" style="0" customWidth="1"/>
  </cols>
  <sheetData>
    <row r="1" spans="1:32" ht="12.75" hidden="1">
      <c r="A1" s="34" t="str">
        <f>Справочники!E13</f>
        <v>Мурманская область</v>
      </c>
      <c r="B1" s="241" t="str">
        <f>Справочники!D21</f>
        <v>МУП "Кировская горэлектросеть"</v>
      </c>
      <c r="X1" s="2"/>
      <c r="AB1" s="2"/>
      <c r="AF1" s="2"/>
    </row>
    <row r="2" spans="3:36" ht="34.5" customHeight="1">
      <c r="C2" s="615"/>
      <c r="D2" s="615"/>
      <c r="E2" s="785" t="s">
        <v>23</v>
      </c>
      <c r="F2" s="785"/>
      <c r="G2" s="785"/>
      <c r="H2" s="785"/>
      <c r="I2" s="785"/>
      <c r="J2" s="785"/>
      <c r="K2" s="785"/>
      <c r="L2" s="785"/>
      <c r="M2" s="785"/>
      <c r="N2" s="785"/>
      <c r="O2" s="785"/>
      <c r="P2" s="785"/>
      <c r="Q2" s="785"/>
      <c r="R2" s="785"/>
      <c r="S2" s="615"/>
      <c r="T2" s="615"/>
      <c r="U2" s="785" t="s">
        <v>23</v>
      </c>
      <c r="V2" s="785"/>
      <c r="W2" s="785"/>
      <c r="X2" s="785"/>
      <c r="Y2" s="785"/>
      <c r="Z2" s="785"/>
      <c r="AA2" s="785"/>
      <c r="AB2" s="785"/>
      <c r="AC2" s="785"/>
      <c r="AD2" s="785"/>
      <c r="AE2" s="785"/>
      <c r="AF2" s="785"/>
      <c r="AG2" s="615"/>
      <c r="AH2" s="615"/>
      <c r="AI2" s="615"/>
      <c r="AJ2" s="615"/>
    </row>
    <row r="3" ht="12" thickBot="1"/>
    <row r="4" spans="1:36" ht="38.25" customHeight="1">
      <c r="A4" s="771" t="s">
        <v>24</v>
      </c>
      <c r="B4" s="773" t="s">
        <v>25</v>
      </c>
      <c r="C4" s="36"/>
      <c r="D4" s="775" t="s">
        <v>26</v>
      </c>
      <c r="E4" s="777" t="s">
        <v>1303</v>
      </c>
      <c r="F4" s="773"/>
      <c r="G4" s="773"/>
      <c r="H4" s="778"/>
      <c r="I4" s="777" t="s">
        <v>1304</v>
      </c>
      <c r="J4" s="773"/>
      <c r="K4" s="773"/>
      <c r="L4" s="778"/>
      <c r="M4" s="777" t="s">
        <v>1286</v>
      </c>
      <c r="N4" s="773"/>
      <c r="O4" s="773"/>
      <c r="P4" s="778"/>
      <c r="Q4" s="777" t="s">
        <v>1305</v>
      </c>
      <c r="R4" s="773"/>
      <c r="S4" s="773"/>
      <c r="T4" s="778"/>
      <c r="U4" s="779" t="s">
        <v>1306</v>
      </c>
      <c r="V4" s="780"/>
      <c r="W4" s="780"/>
      <c r="X4" s="781"/>
      <c r="Y4" s="779" t="s">
        <v>1307</v>
      </c>
      <c r="Z4" s="780"/>
      <c r="AA4" s="780"/>
      <c r="AB4" s="781"/>
      <c r="AC4" s="779" t="s">
        <v>1308</v>
      </c>
      <c r="AD4" s="780"/>
      <c r="AE4" s="780"/>
      <c r="AF4" s="781"/>
      <c r="AG4" s="782" t="s">
        <v>27</v>
      </c>
      <c r="AH4" s="783"/>
      <c r="AI4" s="783"/>
      <c r="AJ4" s="784"/>
    </row>
    <row r="5" spans="1:36" ht="11.25">
      <c r="A5" s="772"/>
      <c r="B5" s="774"/>
      <c r="C5" s="4"/>
      <c r="D5" s="776"/>
      <c r="E5" s="9" t="s">
        <v>28</v>
      </c>
      <c r="F5" s="4" t="s">
        <v>29</v>
      </c>
      <c r="G5" s="4" t="s">
        <v>30</v>
      </c>
      <c r="H5" s="8" t="s">
        <v>31</v>
      </c>
      <c r="I5" s="9" t="s">
        <v>28</v>
      </c>
      <c r="J5" s="4" t="s">
        <v>29</v>
      </c>
      <c r="K5" s="4" t="s">
        <v>30</v>
      </c>
      <c r="L5" s="8" t="s">
        <v>31</v>
      </c>
      <c r="M5" s="9" t="s">
        <v>28</v>
      </c>
      <c r="N5" s="4" t="s">
        <v>29</v>
      </c>
      <c r="O5" s="4" t="s">
        <v>30</v>
      </c>
      <c r="P5" s="8" t="s">
        <v>31</v>
      </c>
      <c r="Q5" s="9" t="s">
        <v>28</v>
      </c>
      <c r="R5" s="4" t="s">
        <v>29</v>
      </c>
      <c r="S5" s="4" t="s">
        <v>30</v>
      </c>
      <c r="T5" s="8" t="s">
        <v>31</v>
      </c>
      <c r="U5" s="9" t="s">
        <v>28</v>
      </c>
      <c r="V5" s="4" t="s">
        <v>29</v>
      </c>
      <c r="W5" s="4" t="s">
        <v>30</v>
      </c>
      <c r="X5" s="8" t="s">
        <v>31</v>
      </c>
      <c r="Y5" s="9" t="s">
        <v>28</v>
      </c>
      <c r="Z5" s="4" t="s">
        <v>29</v>
      </c>
      <c r="AA5" s="4" t="s">
        <v>30</v>
      </c>
      <c r="AB5" s="8" t="s">
        <v>31</v>
      </c>
      <c r="AC5" s="9" t="s">
        <v>28</v>
      </c>
      <c r="AD5" s="4" t="s">
        <v>29</v>
      </c>
      <c r="AE5" s="4" t="s">
        <v>30</v>
      </c>
      <c r="AF5" s="8" t="s">
        <v>31</v>
      </c>
      <c r="AG5" s="331" t="s">
        <v>32</v>
      </c>
      <c r="AH5" s="255" t="s">
        <v>33</v>
      </c>
      <c r="AI5" s="255" t="s">
        <v>34</v>
      </c>
      <c r="AJ5" s="258" t="s">
        <v>35</v>
      </c>
    </row>
    <row r="6" spans="1:36" ht="11.25">
      <c r="A6" s="9" t="s">
        <v>13</v>
      </c>
      <c r="B6" s="4">
        <v>2</v>
      </c>
      <c r="C6" s="4"/>
      <c r="D6" s="38" t="s">
        <v>14</v>
      </c>
      <c r="E6" s="9">
        <f>D6+1</f>
        <v>4</v>
      </c>
      <c r="F6" s="4">
        <f aca="true" t="shared" si="0" ref="F6:X6">E6+1</f>
        <v>5</v>
      </c>
      <c r="G6" s="4">
        <f t="shared" si="0"/>
        <v>6</v>
      </c>
      <c r="H6" s="8">
        <f t="shared" si="0"/>
        <v>7</v>
      </c>
      <c r="I6" s="9">
        <f t="shared" si="0"/>
        <v>8</v>
      </c>
      <c r="J6" s="4">
        <f t="shared" si="0"/>
        <v>9</v>
      </c>
      <c r="K6" s="4">
        <f t="shared" si="0"/>
        <v>10</v>
      </c>
      <c r="L6" s="8">
        <f t="shared" si="0"/>
        <v>11</v>
      </c>
      <c r="M6" s="9">
        <f t="shared" si="0"/>
        <v>12</v>
      </c>
      <c r="N6" s="4">
        <f t="shared" si="0"/>
        <v>13</v>
      </c>
      <c r="O6" s="4">
        <f t="shared" si="0"/>
        <v>14</v>
      </c>
      <c r="P6" s="8">
        <f t="shared" si="0"/>
        <v>15</v>
      </c>
      <c r="Q6" s="9">
        <f t="shared" si="0"/>
        <v>16</v>
      </c>
      <c r="R6" s="4">
        <f t="shared" si="0"/>
        <v>17</v>
      </c>
      <c r="S6" s="4">
        <f t="shared" si="0"/>
        <v>18</v>
      </c>
      <c r="T6" s="8">
        <f t="shared" si="0"/>
        <v>19</v>
      </c>
      <c r="U6" s="9">
        <f t="shared" si="0"/>
        <v>20</v>
      </c>
      <c r="V6" s="4">
        <f t="shared" si="0"/>
        <v>21</v>
      </c>
      <c r="W6" s="4">
        <f t="shared" si="0"/>
        <v>22</v>
      </c>
      <c r="X6" s="8">
        <f t="shared" si="0"/>
        <v>23</v>
      </c>
      <c r="Y6" s="9">
        <f aca="true" t="shared" si="1" ref="Y6:AF6">X6+1</f>
        <v>24</v>
      </c>
      <c r="Z6" s="4">
        <f t="shared" si="1"/>
        <v>25</v>
      </c>
      <c r="AA6" s="4">
        <f t="shared" si="1"/>
        <v>26</v>
      </c>
      <c r="AB6" s="8">
        <f t="shared" si="1"/>
        <v>27</v>
      </c>
      <c r="AC6" s="9">
        <f t="shared" si="1"/>
        <v>28</v>
      </c>
      <c r="AD6" s="4">
        <f t="shared" si="1"/>
        <v>29</v>
      </c>
      <c r="AE6" s="4">
        <f t="shared" si="1"/>
        <v>30</v>
      </c>
      <c r="AF6" s="8">
        <f t="shared" si="1"/>
        <v>31</v>
      </c>
      <c r="AG6" s="62"/>
      <c r="AH6" s="4"/>
      <c r="AI6" s="4"/>
      <c r="AJ6" s="8"/>
    </row>
    <row r="7" spans="1:36" ht="11.25">
      <c r="A7" s="5" t="s">
        <v>36</v>
      </c>
      <c r="B7" s="39" t="s">
        <v>37</v>
      </c>
      <c r="C7" s="39" t="s">
        <v>38</v>
      </c>
      <c r="D7" s="12" t="s">
        <v>909</v>
      </c>
      <c r="E7" s="40">
        <f>SUM(E8:E17)</f>
        <v>0</v>
      </c>
      <c r="F7" s="55">
        <f aca="true" t="shared" si="2" ref="F7:X7">SUM(F8:F17)</f>
        <v>0.10700000000000001</v>
      </c>
      <c r="G7" s="55">
        <f t="shared" si="2"/>
        <v>1.95</v>
      </c>
      <c r="H7" s="56">
        <f t="shared" si="2"/>
        <v>0.061</v>
      </c>
      <c r="I7" s="40">
        <f t="shared" si="2"/>
        <v>0</v>
      </c>
      <c r="J7" s="55">
        <f t="shared" si="2"/>
        <v>0.10740000000000001</v>
      </c>
      <c r="K7" s="55">
        <f t="shared" si="2"/>
        <v>1.9527</v>
      </c>
      <c r="L7" s="56">
        <f t="shared" si="2"/>
        <v>0.0716</v>
      </c>
      <c r="M7" s="40">
        <f t="shared" si="2"/>
        <v>0</v>
      </c>
      <c r="N7" s="55">
        <f t="shared" si="2"/>
        <v>0.10740000000000001</v>
      </c>
      <c r="O7" s="55">
        <f t="shared" si="2"/>
        <v>1.9264000000000001</v>
      </c>
      <c r="P7" s="56">
        <f t="shared" si="2"/>
        <v>0.0667</v>
      </c>
      <c r="Q7" s="40">
        <f t="shared" si="2"/>
        <v>0</v>
      </c>
      <c r="R7" s="55">
        <f t="shared" si="2"/>
        <v>0.10740000000000001</v>
      </c>
      <c r="S7" s="55">
        <f t="shared" si="2"/>
        <v>1.9264000000000001</v>
      </c>
      <c r="T7" s="56">
        <f t="shared" si="2"/>
        <v>0.0667</v>
      </c>
      <c r="U7" s="40">
        <f t="shared" si="2"/>
        <v>0</v>
      </c>
      <c r="V7" s="55">
        <f t="shared" si="2"/>
        <v>0.11895100000000002</v>
      </c>
      <c r="W7" s="55">
        <f t="shared" si="2"/>
        <v>0.9783310000000001</v>
      </c>
      <c r="X7" s="56">
        <f t="shared" si="2"/>
        <v>0.035805</v>
      </c>
      <c r="Y7" s="40">
        <f aca="true" t="shared" si="3" ref="Y7:AF7">SUM(Y8:Y17)</f>
        <v>0</v>
      </c>
      <c r="Z7" s="55">
        <f t="shared" si="3"/>
        <v>0.11895100000000002</v>
      </c>
      <c r="AA7" s="55">
        <f t="shared" si="3"/>
        <v>0.9783310000000001</v>
      </c>
      <c r="AB7" s="56">
        <f t="shared" si="3"/>
        <v>0.035805</v>
      </c>
      <c r="AC7" s="40">
        <f t="shared" si="3"/>
        <v>0</v>
      </c>
      <c r="AD7" s="55">
        <f t="shared" si="3"/>
        <v>0.23790200000000003</v>
      </c>
      <c r="AE7" s="55">
        <f t="shared" si="3"/>
        <v>1.9566620000000001</v>
      </c>
      <c r="AF7" s="56">
        <f t="shared" si="3"/>
        <v>0.07161</v>
      </c>
      <c r="AG7" s="333">
        <f>IF(ISERROR(AC7/M7),0,AC7/M7)</f>
        <v>0</v>
      </c>
      <c r="AH7" s="333">
        <f aca="true" t="shared" si="4" ref="AH7:AJ8">IF(ISERROR(AD7/N7),0,AD7/N7)</f>
        <v>2.215102420856611</v>
      </c>
      <c r="AI7" s="333">
        <f t="shared" si="4"/>
        <v>1.0157090946843854</v>
      </c>
      <c r="AJ7" s="333">
        <f t="shared" si="4"/>
        <v>1.0736131934032984</v>
      </c>
    </row>
    <row r="8" spans="1:36" ht="33.75">
      <c r="A8" s="5" t="s">
        <v>39</v>
      </c>
      <c r="B8" s="39" t="s">
        <v>40</v>
      </c>
      <c r="C8" s="39" t="s">
        <v>41</v>
      </c>
      <c r="D8" s="12" t="s">
        <v>909</v>
      </c>
      <c r="E8" s="385"/>
      <c r="F8" s="690">
        <v>0.081</v>
      </c>
      <c r="G8" s="690">
        <v>1.862</v>
      </c>
      <c r="H8" s="691"/>
      <c r="I8" s="385"/>
      <c r="J8" s="692">
        <v>0.0806</v>
      </c>
      <c r="K8" s="692">
        <v>1.8637</v>
      </c>
      <c r="L8" s="693"/>
      <c r="M8" s="385"/>
      <c r="N8" s="694">
        <v>0.0806</v>
      </c>
      <c r="O8" s="694">
        <v>1.838</v>
      </c>
      <c r="P8" s="695"/>
      <c r="Q8" s="385"/>
      <c r="R8" s="694">
        <v>0.0806</v>
      </c>
      <c r="S8" s="694">
        <v>1.838</v>
      </c>
      <c r="T8" s="695"/>
      <c r="U8" s="385"/>
      <c r="V8" s="696">
        <v>0.098988</v>
      </c>
      <c r="W8" s="696">
        <v>0.931688</v>
      </c>
      <c r="X8" s="697"/>
      <c r="Y8" s="698"/>
      <c r="Z8" s="696">
        <v>0.098988</v>
      </c>
      <c r="AA8" s="696">
        <v>0.931688</v>
      </c>
      <c r="AB8" s="697"/>
      <c r="AC8" s="611">
        <f>U8+Y8</f>
        <v>0</v>
      </c>
      <c r="AD8" s="611">
        <f>V8+Z8</f>
        <v>0.197976</v>
      </c>
      <c r="AE8" s="611">
        <f>W8+AA8</f>
        <v>1.863376</v>
      </c>
      <c r="AF8" s="612">
        <f>X8+AB8</f>
        <v>0</v>
      </c>
      <c r="AG8" s="333">
        <f>IF(ISERROR(AC8/M8),0,AC8/M8)</f>
        <v>0</v>
      </c>
      <c r="AH8" s="333">
        <f t="shared" si="4"/>
        <v>2.4562779156327545</v>
      </c>
      <c r="AI8" s="333">
        <f t="shared" si="4"/>
        <v>1.0138063112078346</v>
      </c>
      <c r="AJ8" s="333">
        <f t="shared" si="4"/>
        <v>0</v>
      </c>
    </row>
    <row r="9" spans="1:36" ht="45">
      <c r="A9" s="5" t="s">
        <v>42</v>
      </c>
      <c r="B9" s="39" t="s">
        <v>43</v>
      </c>
      <c r="C9" s="39" t="s">
        <v>44</v>
      </c>
      <c r="D9" s="12" t="s">
        <v>909</v>
      </c>
      <c r="E9" s="385"/>
      <c r="F9" s="690"/>
      <c r="G9" s="690">
        <v>0.009</v>
      </c>
      <c r="H9" s="691"/>
      <c r="I9" s="385"/>
      <c r="J9" s="692"/>
      <c r="K9" s="692">
        <v>0.0091</v>
      </c>
      <c r="L9" s="693"/>
      <c r="M9" s="385"/>
      <c r="N9" s="694"/>
      <c r="O9" s="694">
        <v>0.0091</v>
      </c>
      <c r="P9" s="695"/>
      <c r="Q9" s="385"/>
      <c r="R9" s="694"/>
      <c r="S9" s="694">
        <v>0.0091</v>
      </c>
      <c r="T9" s="695"/>
      <c r="U9" s="385"/>
      <c r="V9" s="696"/>
      <c r="W9" s="696">
        <v>0.00455</v>
      </c>
      <c r="X9" s="697"/>
      <c r="Y9" s="698"/>
      <c r="Z9" s="696"/>
      <c r="AA9" s="696">
        <v>0.00455</v>
      </c>
      <c r="AB9" s="697"/>
      <c r="AC9" s="611">
        <f aca="true" t="shared" si="5" ref="AC9:AC20">U9+Y9</f>
        <v>0</v>
      </c>
      <c r="AD9" s="611">
        <f aca="true" t="shared" si="6" ref="AD9:AD20">V9+Z9</f>
        <v>0</v>
      </c>
      <c r="AE9" s="611">
        <f aca="true" t="shared" si="7" ref="AE9:AE20">W9+AA9</f>
        <v>0.0091</v>
      </c>
      <c r="AF9" s="612">
        <f aca="true" t="shared" si="8" ref="AF9:AF20">X9+AB9</f>
        <v>0</v>
      </c>
      <c r="AG9" s="333">
        <f aca="true" t="shared" si="9" ref="AG9:AG20">IF(ISERROR(AC9/M9),0,AC9/M9)</f>
        <v>0</v>
      </c>
      <c r="AH9" s="333">
        <f aca="true" t="shared" si="10" ref="AH9:AH21">IF(ISERROR(AD9/N9),0,AD9/N9)</f>
        <v>0</v>
      </c>
      <c r="AI9" s="333">
        <f aca="true" t="shared" si="11" ref="AI9:AI21">IF(ISERROR(AE9/O9),0,AE9/O9)</f>
        <v>1</v>
      </c>
      <c r="AJ9" s="333">
        <f aca="true" t="shared" si="12" ref="AJ9:AJ21">IF(ISERROR(AF9/P9),0,AF9/P9)</f>
        <v>0</v>
      </c>
    </row>
    <row r="10" spans="1:36" ht="22.5">
      <c r="A10" s="5" t="s">
        <v>45</v>
      </c>
      <c r="B10" s="39" t="s">
        <v>46</v>
      </c>
      <c r="C10" s="39" t="s">
        <v>47</v>
      </c>
      <c r="D10" s="12" t="s">
        <v>909</v>
      </c>
      <c r="E10" s="385"/>
      <c r="F10" s="690"/>
      <c r="G10" s="690"/>
      <c r="H10" s="691"/>
      <c r="I10" s="385"/>
      <c r="J10" s="692"/>
      <c r="K10" s="692"/>
      <c r="L10" s="693"/>
      <c r="M10" s="385"/>
      <c r="N10" s="694"/>
      <c r="O10" s="694"/>
      <c r="P10" s="695"/>
      <c r="Q10" s="385"/>
      <c r="R10" s="694"/>
      <c r="S10" s="694"/>
      <c r="T10" s="695"/>
      <c r="U10" s="385"/>
      <c r="V10" s="696"/>
      <c r="W10" s="696"/>
      <c r="X10" s="697"/>
      <c r="Y10" s="698"/>
      <c r="Z10" s="696"/>
      <c r="AA10" s="696"/>
      <c r="AB10" s="697"/>
      <c r="AC10" s="611">
        <f t="shared" si="5"/>
        <v>0</v>
      </c>
      <c r="AD10" s="611">
        <f t="shared" si="6"/>
        <v>0</v>
      </c>
      <c r="AE10" s="611">
        <f t="shared" si="7"/>
        <v>0</v>
      </c>
      <c r="AF10" s="612">
        <f t="shared" si="8"/>
        <v>0</v>
      </c>
      <c r="AG10" s="333">
        <f t="shared" si="9"/>
        <v>0</v>
      </c>
      <c r="AH10" s="333">
        <f t="shared" si="10"/>
        <v>0</v>
      </c>
      <c r="AI10" s="333">
        <f t="shared" si="11"/>
        <v>0</v>
      </c>
      <c r="AJ10" s="333">
        <f t="shared" si="12"/>
        <v>0</v>
      </c>
    </row>
    <row r="11" spans="1:36" ht="56.25">
      <c r="A11" s="5" t="s">
        <v>48</v>
      </c>
      <c r="B11" s="39" t="s">
        <v>49</v>
      </c>
      <c r="C11" s="39" t="s">
        <v>50</v>
      </c>
      <c r="D11" s="12" t="s">
        <v>909</v>
      </c>
      <c r="E11" s="385"/>
      <c r="F11" s="690"/>
      <c r="G11" s="690"/>
      <c r="H11" s="691"/>
      <c r="I11" s="385"/>
      <c r="J11" s="692"/>
      <c r="K11" s="692"/>
      <c r="L11" s="693"/>
      <c r="M11" s="385"/>
      <c r="N11" s="694"/>
      <c r="O11" s="694"/>
      <c r="P11" s="695"/>
      <c r="Q11" s="385"/>
      <c r="R11" s="694"/>
      <c r="S11" s="694"/>
      <c r="T11" s="695"/>
      <c r="U11" s="385"/>
      <c r="V11" s="696"/>
      <c r="W11" s="696"/>
      <c r="X11" s="697"/>
      <c r="Y11" s="698"/>
      <c r="Z11" s="696"/>
      <c r="AA11" s="696"/>
      <c r="AB11" s="697"/>
      <c r="AC11" s="611">
        <f t="shared" si="5"/>
        <v>0</v>
      </c>
      <c r="AD11" s="611">
        <f t="shared" si="6"/>
        <v>0</v>
      </c>
      <c r="AE11" s="611">
        <f t="shared" si="7"/>
        <v>0</v>
      </c>
      <c r="AF11" s="612">
        <f t="shared" si="8"/>
        <v>0</v>
      </c>
      <c r="AG11" s="333">
        <f t="shared" si="9"/>
        <v>0</v>
      </c>
      <c r="AH11" s="333">
        <f t="shared" si="10"/>
        <v>0</v>
      </c>
      <c r="AI11" s="333">
        <f t="shared" si="11"/>
        <v>0</v>
      </c>
      <c r="AJ11" s="333">
        <f t="shared" si="12"/>
        <v>0</v>
      </c>
    </row>
    <row r="12" spans="1:36" ht="67.5">
      <c r="A12" s="5" t="s">
        <v>51</v>
      </c>
      <c r="B12" s="39" t="s">
        <v>52</v>
      </c>
      <c r="C12" s="39" t="s">
        <v>53</v>
      </c>
      <c r="D12" s="12" t="s">
        <v>909</v>
      </c>
      <c r="E12" s="385"/>
      <c r="F12" s="690">
        <v>0.004</v>
      </c>
      <c r="G12" s="690">
        <v>0.038</v>
      </c>
      <c r="H12" s="691">
        <v>0.061</v>
      </c>
      <c r="I12" s="385"/>
      <c r="J12" s="692">
        <v>0.0044</v>
      </c>
      <c r="K12" s="692">
        <v>0.0389</v>
      </c>
      <c r="L12" s="693">
        <v>0.0716</v>
      </c>
      <c r="M12" s="385"/>
      <c r="N12" s="694">
        <v>0.0044</v>
      </c>
      <c r="O12" s="694">
        <v>0.0389</v>
      </c>
      <c r="P12" s="695">
        <v>0.0667</v>
      </c>
      <c r="Q12" s="385"/>
      <c r="R12" s="694">
        <v>0.0044</v>
      </c>
      <c r="S12" s="694">
        <v>0.0389</v>
      </c>
      <c r="T12" s="695">
        <v>0.0667</v>
      </c>
      <c r="U12" s="385"/>
      <c r="V12" s="696">
        <v>0.0062795</v>
      </c>
      <c r="W12" s="696">
        <v>0.0178655</v>
      </c>
      <c r="X12" s="697">
        <v>0.035805</v>
      </c>
      <c r="Y12" s="698"/>
      <c r="Z12" s="696">
        <v>0.0062795</v>
      </c>
      <c r="AA12" s="696">
        <v>0.0178655</v>
      </c>
      <c r="AB12" s="697">
        <v>0.035805</v>
      </c>
      <c r="AC12" s="611">
        <f t="shared" si="5"/>
        <v>0</v>
      </c>
      <c r="AD12" s="611">
        <f t="shared" si="6"/>
        <v>0.012559</v>
      </c>
      <c r="AE12" s="611">
        <f t="shared" si="7"/>
        <v>0.035731</v>
      </c>
      <c r="AF12" s="612">
        <f t="shared" si="8"/>
        <v>0.07161</v>
      </c>
      <c r="AG12" s="333">
        <f t="shared" si="9"/>
        <v>0</v>
      </c>
      <c r="AH12" s="333">
        <f t="shared" si="10"/>
        <v>2.854318181818182</v>
      </c>
      <c r="AI12" s="333">
        <f t="shared" si="11"/>
        <v>0.91853470437018</v>
      </c>
      <c r="AJ12" s="333">
        <f t="shared" si="12"/>
        <v>1.0736131934032984</v>
      </c>
    </row>
    <row r="13" spans="1:36" ht="11.25">
      <c r="A13" s="5" t="s">
        <v>54</v>
      </c>
      <c r="B13" s="39" t="s">
        <v>55</v>
      </c>
      <c r="C13" s="39" t="s">
        <v>56</v>
      </c>
      <c r="D13" s="12" t="s">
        <v>909</v>
      </c>
      <c r="E13" s="385"/>
      <c r="F13" s="690"/>
      <c r="G13" s="699"/>
      <c r="H13" s="691"/>
      <c r="I13" s="385"/>
      <c r="J13" s="692"/>
      <c r="K13" s="692"/>
      <c r="L13" s="693"/>
      <c r="M13" s="385"/>
      <c r="N13" s="694"/>
      <c r="O13" s="694"/>
      <c r="P13" s="695"/>
      <c r="Q13" s="385"/>
      <c r="R13" s="694"/>
      <c r="S13" s="694"/>
      <c r="T13" s="695"/>
      <c r="U13" s="385"/>
      <c r="V13" s="696"/>
      <c r="W13" s="696"/>
      <c r="X13" s="697"/>
      <c r="Y13" s="698"/>
      <c r="Z13" s="696"/>
      <c r="AA13" s="696"/>
      <c r="AB13" s="697"/>
      <c r="AC13" s="611">
        <f t="shared" si="5"/>
        <v>0</v>
      </c>
      <c r="AD13" s="611">
        <f t="shared" si="6"/>
        <v>0</v>
      </c>
      <c r="AE13" s="611">
        <f t="shared" si="7"/>
        <v>0</v>
      </c>
      <c r="AF13" s="612">
        <f t="shared" si="8"/>
        <v>0</v>
      </c>
      <c r="AG13" s="333">
        <f t="shared" si="9"/>
        <v>0</v>
      </c>
      <c r="AH13" s="333">
        <f t="shared" si="10"/>
        <v>0</v>
      </c>
      <c r="AI13" s="333">
        <f t="shared" si="11"/>
        <v>0</v>
      </c>
      <c r="AJ13" s="333">
        <f t="shared" si="12"/>
        <v>0</v>
      </c>
    </row>
    <row r="14" spans="1:36" ht="22.5">
      <c r="A14" s="5" t="s">
        <v>57</v>
      </c>
      <c r="B14" s="39" t="s">
        <v>58</v>
      </c>
      <c r="C14" s="39" t="s">
        <v>59</v>
      </c>
      <c r="D14" s="12" t="s">
        <v>909</v>
      </c>
      <c r="E14" s="385"/>
      <c r="F14" s="690">
        <v>0.022</v>
      </c>
      <c r="G14" s="690">
        <v>0.004</v>
      </c>
      <c r="H14" s="691"/>
      <c r="I14" s="385"/>
      <c r="J14" s="692">
        <v>0.0224</v>
      </c>
      <c r="K14" s="692">
        <v>0.0036</v>
      </c>
      <c r="L14" s="693"/>
      <c r="M14" s="385"/>
      <c r="N14" s="694">
        <v>0.0224</v>
      </c>
      <c r="O14" s="694">
        <v>0.0036</v>
      </c>
      <c r="P14" s="695"/>
      <c r="Q14" s="385"/>
      <c r="R14" s="694">
        <v>0.0224</v>
      </c>
      <c r="S14" s="694">
        <v>0.0036</v>
      </c>
      <c r="T14" s="695"/>
      <c r="U14" s="385"/>
      <c r="V14" s="696">
        <v>0.0136835</v>
      </c>
      <c r="W14" s="696">
        <v>0.001974</v>
      </c>
      <c r="X14" s="697"/>
      <c r="Y14" s="698"/>
      <c r="Z14" s="696">
        <v>0.0136835</v>
      </c>
      <c r="AA14" s="696">
        <v>0.001974</v>
      </c>
      <c r="AB14" s="697"/>
      <c r="AC14" s="611">
        <f t="shared" si="5"/>
        <v>0</v>
      </c>
      <c r="AD14" s="611">
        <f t="shared" si="6"/>
        <v>0.027367</v>
      </c>
      <c r="AE14" s="611">
        <f t="shared" si="7"/>
        <v>0.003948</v>
      </c>
      <c r="AF14" s="612">
        <f t="shared" si="8"/>
        <v>0</v>
      </c>
      <c r="AG14" s="333">
        <f t="shared" si="9"/>
        <v>0</v>
      </c>
      <c r="AH14" s="333">
        <f t="shared" si="10"/>
        <v>1.2217410714285715</v>
      </c>
      <c r="AI14" s="333">
        <f t="shared" si="11"/>
        <v>1.0966666666666667</v>
      </c>
      <c r="AJ14" s="333">
        <f t="shared" si="12"/>
        <v>0</v>
      </c>
    </row>
    <row r="15" spans="1:36" ht="11.25">
      <c r="A15" s="5" t="s">
        <v>60</v>
      </c>
      <c r="B15" s="39" t="s">
        <v>61</v>
      </c>
      <c r="C15" s="39" t="s">
        <v>62</v>
      </c>
      <c r="D15" s="12" t="s">
        <v>909</v>
      </c>
      <c r="E15" s="385"/>
      <c r="F15" s="690"/>
      <c r="G15" s="690"/>
      <c r="H15" s="691"/>
      <c r="I15" s="385"/>
      <c r="J15" s="692"/>
      <c r="K15" s="692"/>
      <c r="L15" s="693"/>
      <c r="M15" s="385"/>
      <c r="N15" s="694"/>
      <c r="O15" s="694"/>
      <c r="P15" s="695"/>
      <c r="Q15" s="389"/>
      <c r="R15" s="694"/>
      <c r="S15" s="694"/>
      <c r="T15" s="695"/>
      <c r="U15" s="385"/>
      <c r="V15" s="696"/>
      <c r="W15" s="696"/>
      <c r="X15" s="697"/>
      <c r="Y15" s="698"/>
      <c r="Z15" s="696"/>
      <c r="AA15" s="696"/>
      <c r="AB15" s="697"/>
      <c r="AC15" s="611">
        <f t="shared" si="5"/>
        <v>0</v>
      </c>
      <c r="AD15" s="611">
        <f t="shared" si="6"/>
        <v>0</v>
      </c>
      <c r="AE15" s="611">
        <f t="shared" si="7"/>
        <v>0</v>
      </c>
      <c r="AF15" s="612">
        <f t="shared" si="8"/>
        <v>0</v>
      </c>
      <c r="AG15" s="333">
        <f t="shared" si="9"/>
        <v>0</v>
      </c>
      <c r="AH15" s="333">
        <f t="shared" si="10"/>
        <v>0</v>
      </c>
      <c r="AI15" s="333">
        <f t="shared" si="11"/>
        <v>0</v>
      </c>
      <c r="AJ15" s="333">
        <f t="shared" si="12"/>
        <v>0</v>
      </c>
    </row>
    <row r="16" spans="1:36" ht="22.5">
      <c r="A16" s="5" t="s">
        <v>63</v>
      </c>
      <c r="B16" s="39" t="s">
        <v>64</v>
      </c>
      <c r="C16" s="39" t="s">
        <v>65</v>
      </c>
      <c r="D16" s="12" t="s">
        <v>909</v>
      </c>
      <c r="E16" s="385"/>
      <c r="F16" s="690"/>
      <c r="G16" s="690">
        <v>0.037</v>
      </c>
      <c r="H16" s="691"/>
      <c r="I16" s="385"/>
      <c r="J16" s="692"/>
      <c r="K16" s="692">
        <v>0.0374</v>
      </c>
      <c r="L16" s="693"/>
      <c r="M16" s="385"/>
      <c r="N16" s="694"/>
      <c r="O16" s="694">
        <v>0.0368</v>
      </c>
      <c r="P16" s="695"/>
      <c r="Q16" s="385"/>
      <c r="R16" s="694"/>
      <c r="S16" s="694">
        <v>0.0368</v>
      </c>
      <c r="T16" s="695"/>
      <c r="U16" s="385"/>
      <c r="V16" s="696"/>
      <c r="W16" s="696">
        <v>0.0222535</v>
      </c>
      <c r="X16" s="697"/>
      <c r="Y16" s="698"/>
      <c r="Z16" s="696"/>
      <c r="AA16" s="696">
        <v>0.0222535</v>
      </c>
      <c r="AB16" s="697"/>
      <c r="AC16" s="611">
        <f t="shared" si="5"/>
        <v>0</v>
      </c>
      <c r="AD16" s="611">
        <f t="shared" si="6"/>
        <v>0</v>
      </c>
      <c r="AE16" s="611">
        <f t="shared" si="7"/>
        <v>0.044507</v>
      </c>
      <c r="AF16" s="612">
        <f t="shared" si="8"/>
        <v>0</v>
      </c>
      <c r="AG16" s="333">
        <f t="shared" si="9"/>
        <v>0</v>
      </c>
      <c r="AH16" s="333">
        <f t="shared" si="10"/>
        <v>0</v>
      </c>
      <c r="AI16" s="333">
        <f t="shared" si="11"/>
        <v>1.209429347826087</v>
      </c>
      <c r="AJ16" s="333">
        <f t="shared" si="12"/>
        <v>0</v>
      </c>
    </row>
    <row r="17" spans="1:36" ht="22.5">
      <c r="A17" s="5" t="s">
        <v>66</v>
      </c>
      <c r="B17" s="39" t="s">
        <v>67</v>
      </c>
      <c r="C17" s="39" t="s">
        <v>68</v>
      </c>
      <c r="D17" s="12" t="s">
        <v>909</v>
      </c>
      <c r="E17" s="385"/>
      <c r="F17" s="690"/>
      <c r="G17" s="690"/>
      <c r="H17" s="691"/>
      <c r="I17" s="385"/>
      <c r="J17" s="692"/>
      <c r="K17" s="692"/>
      <c r="L17" s="693"/>
      <c r="M17" s="385"/>
      <c r="N17" s="694"/>
      <c r="O17" s="694"/>
      <c r="P17" s="695"/>
      <c r="Q17" s="385"/>
      <c r="R17" s="694"/>
      <c r="S17" s="694"/>
      <c r="T17" s="695"/>
      <c r="U17" s="385"/>
      <c r="V17" s="696"/>
      <c r="W17" s="696"/>
      <c r="X17" s="697"/>
      <c r="Y17" s="698"/>
      <c r="Z17" s="696"/>
      <c r="AA17" s="696"/>
      <c r="AB17" s="697"/>
      <c r="AC17" s="611">
        <f t="shared" si="5"/>
        <v>0</v>
      </c>
      <c r="AD17" s="611">
        <f t="shared" si="6"/>
        <v>0</v>
      </c>
      <c r="AE17" s="611">
        <f t="shared" si="7"/>
        <v>0</v>
      </c>
      <c r="AF17" s="612">
        <f t="shared" si="8"/>
        <v>0</v>
      </c>
      <c r="AG17" s="333">
        <f t="shared" si="9"/>
        <v>0</v>
      </c>
      <c r="AH17" s="333">
        <f t="shared" si="10"/>
        <v>0</v>
      </c>
      <c r="AI17" s="333">
        <f t="shared" si="11"/>
        <v>0</v>
      </c>
      <c r="AJ17" s="333">
        <f t="shared" si="12"/>
        <v>0</v>
      </c>
    </row>
    <row r="18" spans="1:36" ht="11.25">
      <c r="A18" s="5" t="s">
        <v>69</v>
      </c>
      <c r="B18" s="39" t="s">
        <v>70</v>
      </c>
      <c r="C18" s="39" t="s">
        <v>71</v>
      </c>
      <c r="D18" s="12" t="s">
        <v>909</v>
      </c>
      <c r="E18" s="385"/>
      <c r="F18" s="690">
        <v>0.019</v>
      </c>
      <c r="G18" s="690">
        <v>1.094</v>
      </c>
      <c r="H18" s="691">
        <v>5.889</v>
      </c>
      <c r="I18" s="385"/>
      <c r="J18" s="692">
        <v>0.0125</v>
      </c>
      <c r="K18" s="692">
        <v>0.9758</v>
      </c>
      <c r="L18" s="693">
        <v>6.1298</v>
      </c>
      <c r="M18" s="385"/>
      <c r="N18" s="694">
        <v>0.0153</v>
      </c>
      <c r="O18" s="694">
        <v>0.7553</v>
      </c>
      <c r="P18" s="695">
        <v>6.386</v>
      </c>
      <c r="Q18" s="385"/>
      <c r="R18" s="694">
        <v>0.0153</v>
      </c>
      <c r="S18" s="694">
        <v>0.7553</v>
      </c>
      <c r="T18" s="695">
        <v>6.386</v>
      </c>
      <c r="U18" s="385"/>
      <c r="V18" s="696">
        <v>0.013983</v>
      </c>
      <c r="W18" s="696">
        <v>0.6175055</v>
      </c>
      <c r="X18" s="697">
        <v>3.123386</v>
      </c>
      <c r="Y18" s="698"/>
      <c r="Z18" s="696">
        <v>0.013983</v>
      </c>
      <c r="AA18" s="696">
        <v>0.6175055</v>
      </c>
      <c r="AB18" s="697">
        <v>3.123386</v>
      </c>
      <c r="AC18" s="611">
        <f t="shared" si="5"/>
        <v>0</v>
      </c>
      <c r="AD18" s="611">
        <f t="shared" si="6"/>
        <v>0.027966</v>
      </c>
      <c r="AE18" s="611">
        <f t="shared" si="7"/>
        <v>1.235011</v>
      </c>
      <c r="AF18" s="612">
        <f t="shared" si="8"/>
        <v>6.246772</v>
      </c>
      <c r="AG18" s="333">
        <f t="shared" si="9"/>
        <v>0</v>
      </c>
      <c r="AH18" s="333">
        <f t="shared" si="10"/>
        <v>1.8278431372549022</v>
      </c>
      <c r="AI18" s="333">
        <f t="shared" si="11"/>
        <v>1.6351264398252352</v>
      </c>
      <c r="AJ18" s="333">
        <f t="shared" si="12"/>
        <v>0.9781979329783902</v>
      </c>
    </row>
    <row r="19" spans="1:36" ht="11.25">
      <c r="A19" s="5" t="s">
        <v>72</v>
      </c>
      <c r="B19" s="39" t="s">
        <v>73</v>
      </c>
      <c r="C19" s="39" t="s">
        <v>74</v>
      </c>
      <c r="D19" s="12" t="s">
        <v>909</v>
      </c>
      <c r="E19" s="385"/>
      <c r="F19" s="690">
        <v>0.019</v>
      </c>
      <c r="G19" s="690">
        <v>1.094</v>
      </c>
      <c r="H19" s="691">
        <v>5.889</v>
      </c>
      <c r="I19" s="385"/>
      <c r="J19" s="692">
        <v>0.0125</v>
      </c>
      <c r="K19" s="692">
        <v>0.9758</v>
      </c>
      <c r="L19" s="693">
        <v>6.1298</v>
      </c>
      <c r="M19" s="385"/>
      <c r="N19" s="694">
        <v>0.0153</v>
      </c>
      <c r="O19" s="694">
        <v>0.7553</v>
      </c>
      <c r="P19" s="695">
        <v>6.386</v>
      </c>
      <c r="Q19" s="385"/>
      <c r="R19" s="694">
        <v>0.0153</v>
      </c>
      <c r="S19" s="694">
        <v>0.7553</v>
      </c>
      <c r="T19" s="695">
        <v>6.386</v>
      </c>
      <c r="U19" s="385"/>
      <c r="V19" s="696">
        <v>0.013983</v>
      </c>
      <c r="W19" s="696">
        <v>0.6175055</v>
      </c>
      <c r="X19" s="697">
        <v>3.123386</v>
      </c>
      <c r="Y19" s="698"/>
      <c r="Z19" s="696">
        <v>0.013983</v>
      </c>
      <c r="AA19" s="696">
        <v>0.6175055</v>
      </c>
      <c r="AB19" s="697">
        <v>3.123386</v>
      </c>
      <c r="AC19" s="611">
        <f t="shared" si="5"/>
        <v>0</v>
      </c>
      <c r="AD19" s="611">
        <f t="shared" si="6"/>
        <v>0.027966</v>
      </c>
      <c r="AE19" s="611">
        <f t="shared" si="7"/>
        <v>1.235011</v>
      </c>
      <c r="AF19" s="612">
        <f t="shared" si="8"/>
        <v>6.246772</v>
      </c>
      <c r="AG19" s="333">
        <f t="shared" si="9"/>
        <v>0</v>
      </c>
      <c r="AH19" s="333">
        <f t="shared" si="10"/>
        <v>1.8278431372549022</v>
      </c>
      <c r="AI19" s="333">
        <f t="shared" si="11"/>
        <v>1.6351264398252352</v>
      </c>
      <c r="AJ19" s="333">
        <f t="shared" si="12"/>
        <v>0.9781979329783902</v>
      </c>
    </row>
    <row r="20" spans="1:36" ht="33.75">
      <c r="A20" s="5" t="s">
        <v>75</v>
      </c>
      <c r="B20" s="39" t="s">
        <v>76</v>
      </c>
      <c r="C20" s="39" t="s">
        <v>77</v>
      </c>
      <c r="D20" s="12" t="s">
        <v>909</v>
      </c>
      <c r="E20" s="385"/>
      <c r="F20" s="690">
        <v>0.003</v>
      </c>
      <c r="G20" s="690">
        <v>0.14</v>
      </c>
      <c r="H20" s="691">
        <v>0.098</v>
      </c>
      <c r="I20" s="385"/>
      <c r="J20" s="692">
        <v>0.002674</v>
      </c>
      <c r="K20" s="692">
        <v>0.143952</v>
      </c>
      <c r="L20" s="693">
        <v>0.107662</v>
      </c>
      <c r="M20" s="385"/>
      <c r="N20" s="694">
        <v>0.0035</v>
      </c>
      <c r="O20" s="694">
        <v>0.149</v>
      </c>
      <c r="P20" s="695">
        <v>0.105</v>
      </c>
      <c r="Q20" s="385"/>
      <c r="R20" s="694">
        <v>0.0035</v>
      </c>
      <c r="S20" s="694">
        <v>0.149</v>
      </c>
      <c r="T20" s="695">
        <v>0.105</v>
      </c>
      <c r="U20" s="385"/>
      <c r="V20" s="696">
        <v>0.004966</v>
      </c>
      <c r="W20" s="696">
        <v>0.0709045</v>
      </c>
      <c r="X20" s="697">
        <v>0.048009</v>
      </c>
      <c r="Y20" s="698"/>
      <c r="Z20" s="696">
        <v>0.004971</v>
      </c>
      <c r="AA20" s="696">
        <v>0.0709035</v>
      </c>
      <c r="AB20" s="697">
        <v>0.047929</v>
      </c>
      <c r="AC20" s="611">
        <f t="shared" si="5"/>
        <v>0</v>
      </c>
      <c r="AD20" s="611">
        <f t="shared" si="6"/>
        <v>0.009937</v>
      </c>
      <c r="AE20" s="611">
        <f t="shared" si="7"/>
        <v>0.141808</v>
      </c>
      <c r="AF20" s="612">
        <f t="shared" si="8"/>
        <v>0.095938</v>
      </c>
      <c r="AG20" s="333">
        <f t="shared" si="9"/>
        <v>0</v>
      </c>
      <c r="AH20" s="333">
        <f t="shared" si="10"/>
        <v>2.839142857142857</v>
      </c>
      <c r="AI20" s="333">
        <f t="shared" si="11"/>
        <v>0.951731543624161</v>
      </c>
      <c r="AJ20" s="333">
        <f t="shared" si="12"/>
        <v>0.9136952380952381</v>
      </c>
    </row>
    <row r="21" spans="1:36" ht="12" thickBot="1">
      <c r="A21" s="42" t="s">
        <v>78</v>
      </c>
      <c r="B21" s="43" t="s">
        <v>79</v>
      </c>
      <c r="C21" s="43" t="s">
        <v>80</v>
      </c>
      <c r="D21" s="44" t="s">
        <v>909</v>
      </c>
      <c r="E21" s="45">
        <f>E7+E18+E20</f>
        <v>0</v>
      </c>
      <c r="F21" s="65">
        <f aca="true" t="shared" si="13" ref="F21:X21">F7+F18+F20</f>
        <v>0.129</v>
      </c>
      <c r="G21" s="65">
        <f t="shared" si="13"/>
        <v>3.184</v>
      </c>
      <c r="H21" s="66">
        <f t="shared" si="13"/>
        <v>6.048</v>
      </c>
      <c r="I21" s="45">
        <f t="shared" si="13"/>
        <v>0</v>
      </c>
      <c r="J21" s="65">
        <f t="shared" si="13"/>
        <v>0.122574</v>
      </c>
      <c r="K21" s="65">
        <f t="shared" si="13"/>
        <v>3.072452</v>
      </c>
      <c r="L21" s="66">
        <f t="shared" si="13"/>
        <v>6.309062000000001</v>
      </c>
      <c r="M21" s="45">
        <f t="shared" si="13"/>
        <v>0</v>
      </c>
      <c r="N21" s="65">
        <f t="shared" si="13"/>
        <v>0.1262</v>
      </c>
      <c r="O21" s="65">
        <f t="shared" si="13"/>
        <v>2.8307</v>
      </c>
      <c r="P21" s="66">
        <f t="shared" si="13"/>
        <v>6.5577000000000005</v>
      </c>
      <c r="Q21" s="45">
        <f t="shared" si="13"/>
        <v>0</v>
      </c>
      <c r="R21" s="65">
        <f t="shared" si="13"/>
        <v>0.1262</v>
      </c>
      <c r="S21" s="65">
        <f t="shared" si="13"/>
        <v>2.8307</v>
      </c>
      <c r="T21" s="66">
        <f t="shared" si="13"/>
        <v>6.5577000000000005</v>
      </c>
      <c r="U21" s="45">
        <f t="shared" si="13"/>
        <v>0</v>
      </c>
      <c r="V21" s="65">
        <f t="shared" si="13"/>
        <v>0.13790000000000002</v>
      </c>
      <c r="W21" s="65">
        <f t="shared" si="13"/>
        <v>1.666741</v>
      </c>
      <c r="X21" s="66">
        <f t="shared" si="13"/>
        <v>3.2072</v>
      </c>
      <c r="Y21" s="45">
        <f aca="true" t="shared" si="14" ref="Y21:AF21">Y7+Y18+Y20</f>
        <v>0</v>
      </c>
      <c r="Z21" s="65">
        <f t="shared" si="14"/>
        <v>0.13790500000000003</v>
      </c>
      <c r="AA21" s="65">
        <f t="shared" si="14"/>
        <v>1.66674</v>
      </c>
      <c r="AB21" s="66">
        <f t="shared" si="14"/>
        <v>3.2071199999999997</v>
      </c>
      <c r="AC21" s="45">
        <f t="shared" si="14"/>
        <v>0</v>
      </c>
      <c r="AD21" s="65">
        <f t="shared" si="14"/>
        <v>0.275805</v>
      </c>
      <c r="AE21" s="65">
        <f t="shared" si="14"/>
        <v>3.3334810000000004</v>
      </c>
      <c r="AF21" s="66">
        <f t="shared" si="14"/>
        <v>6.41432</v>
      </c>
      <c r="AG21" s="334">
        <f>IF(ISERROR(AC21/M21),0,AC21/M21)</f>
        <v>0</v>
      </c>
      <c r="AH21" s="334">
        <f t="shared" si="10"/>
        <v>2.1854595879556262</v>
      </c>
      <c r="AI21" s="334">
        <f t="shared" si="11"/>
        <v>1.1776171971597131</v>
      </c>
      <c r="AJ21" s="334">
        <f t="shared" si="12"/>
        <v>0.978135626820379</v>
      </c>
    </row>
    <row r="23" spans="5:27" s="14" customFormat="1" ht="23.25" customHeight="1">
      <c r="E23" s="576" t="s">
        <v>1343</v>
      </c>
      <c r="F23" s="608"/>
      <c r="G23" s="608"/>
      <c r="H23" s="607"/>
      <c r="I23" s="607"/>
      <c r="J23" s="607"/>
      <c r="K23" s="576" t="s">
        <v>1342</v>
      </c>
      <c r="U23" s="576" t="s">
        <v>1343</v>
      </c>
      <c r="V23" s="608"/>
      <c r="W23" s="608"/>
      <c r="X23" s="607"/>
      <c r="Y23" s="607"/>
      <c r="Z23" s="607"/>
      <c r="AA23" s="576" t="s">
        <v>1342</v>
      </c>
    </row>
    <row r="24" spans="5:27" s="14" customFormat="1" ht="15">
      <c r="E24" s="576"/>
      <c r="F24" s="576"/>
      <c r="G24" s="576"/>
      <c r="H24" s="576"/>
      <c r="I24" s="576" t="s">
        <v>1288</v>
      </c>
      <c r="J24" s="576"/>
      <c r="K24" s="576"/>
      <c r="U24" s="576"/>
      <c r="V24" s="576"/>
      <c r="W24" s="576"/>
      <c r="X24" s="576"/>
      <c r="Y24" s="576" t="s">
        <v>1288</v>
      </c>
      <c r="Z24" s="576"/>
      <c r="AA24" s="576"/>
    </row>
    <row r="25" spans="5:27" s="14" customFormat="1" ht="15">
      <c r="E25" s="576" t="s">
        <v>1344</v>
      </c>
      <c r="F25" s="576"/>
      <c r="G25" s="576"/>
      <c r="H25" s="576"/>
      <c r="I25" s="576"/>
      <c r="J25" s="576"/>
      <c r="K25" s="576"/>
      <c r="U25" s="576" t="s">
        <v>1344</v>
      </c>
      <c r="V25" s="576"/>
      <c r="W25" s="576"/>
      <c r="X25" s="576"/>
      <c r="Y25" s="576"/>
      <c r="Z25" s="576"/>
      <c r="AA25" s="576"/>
    </row>
    <row r="26" s="14" customFormat="1" ht="11.25"/>
    <row r="27" s="14" customFormat="1" ht="11.25"/>
    <row r="28" s="14" customFormat="1" ht="11.25"/>
    <row r="29" s="14" customFormat="1" ht="11.25"/>
    <row r="30" s="14" customFormat="1" ht="11.25"/>
    <row r="31" s="14" customFormat="1" ht="11.25"/>
    <row r="32" s="14" customFormat="1" ht="11.25"/>
    <row r="33" s="14" customFormat="1" ht="11.25"/>
    <row r="34" s="14" customFormat="1" ht="11.25"/>
    <row r="35" s="14" customFormat="1" ht="11.25"/>
    <row r="36" s="14" customFormat="1" ht="11.25"/>
    <row r="37" s="14" customFormat="1" ht="11.25"/>
    <row r="38" s="14" customFormat="1" ht="11.25"/>
    <row r="39" s="14" customFormat="1" ht="11.25"/>
    <row r="40" s="14" customFormat="1" ht="11.25"/>
    <row r="41" s="14" customFormat="1" ht="11.25"/>
    <row r="42" s="14" customFormat="1" ht="11.25"/>
    <row r="43" s="14" customFormat="1" ht="11.25"/>
    <row r="44" s="14" customFormat="1" ht="11.25"/>
    <row r="45" s="14" customFormat="1" ht="11.25"/>
    <row r="46" s="14" customFormat="1" ht="11.25"/>
    <row r="47" s="14" customFormat="1" ht="11.25"/>
    <row r="48" s="14" customFormat="1" ht="11.25"/>
    <row r="49" s="14" customFormat="1" ht="11.25"/>
    <row r="50" s="14" customFormat="1" ht="11.25"/>
    <row r="51" s="14" customFormat="1" ht="11.25"/>
    <row r="52" s="14" customFormat="1" ht="11.25"/>
    <row r="53" s="14" customFormat="1" ht="11.25"/>
    <row r="54" s="14" customFormat="1" ht="11.25"/>
    <row r="55" s="14" customFormat="1" ht="11.25"/>
    <row r="56" s="14" customFormat="1" ht="11.25"/>
    <row r="57" s="14" customFormat="1" ht="11.25"/>
    <row r="58" s="14" customFormat="1" ht="11.25"/>
    <row r="59" s="14" customFormat="1" ht="11.25"/>
    <row r="60" s="14" customFormat="1" ht="11.25"/>
    <row r="61" s="14" customFormat="1" ht="11.25"/>
    <row r="62" s="14" customFormat="1" ht="11.25"/>
    <row r="63" s="14" customFormat="1" ht="11.25"/>
  </sheetData>
  <sheetProtection formatColumns="0" formatRows="0"/>
  <protectedRanges>
    <protectedRange sqref="AC8:AF20" name="Диапазон1"/>
    <protectedRange sqref="U8:AB20" name="Диапазон1_1"/>
  </protectedRanges>
  <mergeCells count="13">
    <mergeCell ref="AG4:AJ4"/>
    <mergeCell ref="I4:L4"/>
    <mergeCell ref="M4:P4"/>
    <mergeCell ref="Q4:T4"/>
    <mergeCell ref="U4:X4"/>
    <mergeCell ref="U2:AF2"/>
    <mergeCell ref="E2:R2"/>
    <mergeCell ref="A4:A5"/>
    <mergeCell ref="B4:B5"/>
    <mergeCell ref="D4:D5"/>
    <mergeCell ref="E4:H4"/>
    <mergeCell ref="Y4:AB4"/>
    <mergeCell ref="AC4:AF4"/>
  </mergeCells>
  <dataValidations count="1">
    <dataValidation type="decimal" allowBlank="1" showInputMessage="1" showErrorMessage="1" sqref="E8:AF20">
      <formula1>-10000000000000</formula1>
      <formula2>10000000000000</formula2>
    </dataValidation>
  </dataValidations>
  <printOptions/>
  <pageMargins left="0.5905511811023623" right="0.15748031496062992" top="0.7480314960629921" bottom="0.31496062992125984" header="0.2362204724409449" footer="0.1968503937007874"/>
  <pageSetup fitToWidth="2" horizontalDpi="600" verticalDpi="600" orientation="landscape" paperSize="9" scale="69" r:id="rId1"/>
  <colBreaks count="1" manualBreakCount="1">
    <brk id="20" max="24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2"/>
  <dimension ref="A1:AJ26"/>
  <sheetViews>
    <sheetView view="pageBreakPreview" zoomScale="90" zoomScaleNormal="90" zoomScaleSheetLayoutView="90" zoomScalePageLayoutView="0" workbookViewId="0" topLeftCell="A1">
      <pane xSplit="4" topLeftCell="M1" activePane="topRight" state="frozen"/>
      <selection pane="topLeft" activeCell="F41" sqref="F41"/>
      <selection pane="topRight" activeCell="V2" sqref="V2:AI2"/>
    </sheetView>
  </sheetViews>
  <sheetFormatPr defaultColWidth="9.140625" defaultRowHeight="11.25"/>
  <cols>
    <col min="1" max="1" width="4.7109375" style="0" customWidth="1"/>
    <col min="2" max="2" width="40.7109375" style="0" customWidth="1"/>
    <col min="3" max="3" width="5.421875" style="0" hidden="1" customWidth="1"/>
    <col min="4" max="4" width="7.421875" style="0" customWidth="1"/>
    <col min="5" max="5" width="10.00390625" style="0" customWidth="1"/>
    <col min="6" max="9" width="8.28125" style="0" customWidth="1"/>
    <col min="10" max="10" width="8.00390625" style="0" customWidth="1"/>
    <col min="11" max="32" width="8.28125" style="0" customWidth="1"/>
  </cols>
  <sheetData>
    <row r="1" spans="1:32" ht="12.75" hidden="1">
      <c r="A1" s="34" t="str">
        <f>Справочники!E13</f>
        <v>Мурманская область</v>
      </c>
      <c r="B1" s="241" t="str">
        <f>Справочники!D21</f>
        <v>МУП "Кировская горэлектросеть"</v>
      </c>
      <c r="X1" s="2"/>
      <c r="AB1" s="2"/>
      <c r="AF1" s="2"/>
    </row>
    <row r="2" spans="3:36" ht="35.25" customHeight="1">
      <c r="C2" s="615"/>
      <c r="D2" s="615"/>
      <c r="E2" s="785" t="s">
        <v>23</v>
      </c>
      <c r="F2" s="785"/>
      <c r="G2" s="785"/>
      <c r="H2" s="785"/>
      <c r="I2" s="785"/>
      <c r="J2" s="785"/>
      <c r="K2" s="785"/>
      <c r="L2" s="785"/>
      <c r="M2" s="785"/>
      <c r="N2" s="785"/>
      <c r="O2" s="785"/>
      <c r="P2" s="785"/>
      <c r="Q2" s="785"/>
      <c r="R2" s="785"/>
      <c r="S2" s="615"/>
      <c r="T2" s="615"/>
      <c r="U2" s="615"/>
      <c r="V2" s="785" t="s">
        <v>23</v>
      </c>
      <c r="W2" s="785"/>
      <c r="X2" s="785"/>
      <c r="Y2" s="785"/>
      <c r="Z2" s="785"/>
      <c r="AA2" s="785"/>
      <c r="AB2" s="785"/>
      <c r="AC2" s="785"/>
      <c r="AD2" s="785"/>
      <c r="AE2" s="785"/>
      <c r="AF2" s="785"/>
      <c r="AG2" s="785"/>
      <c r="AH2" s="785"/>
      <c r="AI2" s="785"/>
      <c r="AJ2" s="615"/>
    </row>
    <row r="3" ht="12" thickBot="1"/>
    <row r="4" spans="1:36" ht="38.25" customHeight="1">
      <c r="A4" s="771" t="s">
        <v>24</v>
      </c>
      <c r="B4" s="773" t="s">
        <v>25</v>
      </c>
      <c r="C4" s="36"/>
      <c r="D4" s="775" t="s">
        <v>26</v>
      </c>
      <c r="E4" s="777" t="s">
        <v>1303</v>
      </c>
      <c r="F4" s="773"/>
      <c r="G4" s="773"/>
      <c r="H4" s="778"/>
      <c r="I4" s="777" t="s">
        <v>1304</v>
      </c>
      <c r="J4" s="773"/>
      <c r="K4" s="773"/>
      <c r="L4" s="778"/>
      <c r="M4" s="777" t="s">
        <v>1286</v>
      </c>
      <c r="N4" s="773"/>
      <c r="O4" s="773"/>
      <c r="P4" s="778"/>
      <c r="Q4" s="777" t="s">
        <v>1305</v>
      </c>
      <c r="R4" s="773"/>
      <c r="S4" s="773"/>
      <c r="T4" s="778"/>
      <c r="U4" s="779" t="s">
        <v>1306</v>
      </c>
      <c r="V4" s="780"/>
      <c r="W4" s="780"/>
      <c r="X4" s="781"/>
      <c r="Y4" s="779" t="s">
        <v>1307</v>
      </c>
      <c r="Z4" s="780"/>
      <c r="AA4" s="780"/>
      <c r="AB4" s="781"/>
      <c r="AC4" s="779" t="s">
        <v>1308</v>
      </c>
      <c r="AD4" s="780"/>
      <c r="AE4" s="780"/>
      <c r="AF4" s="781"/>
      <c r="AG4" s="782" t="s">
        <v>27</v>
      </c>
      <c r="AH4" s="783"/>
      <c r="AI4" s="783"/>
      <c r="AJ4" s="784"/>
    </row>
    <row r="5" spans="1:36" ht="11.25">
      <c r="A5" s="772"/>
      <c r="B5" s="774"/>
      <c r="C5" s="4"/>
      <c r="D5" s="776"/>
      <c r="E5" s="9" t="s">
        <v>28</v>
      </c>
      <c r="F5" s="4" t="s">
        <v>29</v>
      </c>
      <c r="G5" s="4" t="s">
        <v>30</v>
      </c>
      <c r="H5" s="8" t="s">
        <v>31</v>
      </c>
      <c r="I5" s="9" t="s">
        <v>28</v>
      </c>
      <c r="J5" s="4" t="s">
        <v>29</v>
      </c>
      <c r="K5" s="4" t="s">
        <v>30</v>
      </c>
      <c r="L5" s="8" t="s">
        <v>31</v>
      </c>
      <c r="M5" s="9" t="s">
        <v>28</v>
      </c>
      <c r="N5" s="4" t="s">
        <v>29</v>
      </c>
      <c r="O5" s="4" t="s">
        <v>30</v>
      </c>
      <c r="P5" s="8" t="s">
        <v>31</v>
      </c>
      <c r="Q5" s="9" t="s">
        <v>28</v>
      </c>
      <c r="R5" s="4" t="s">
        <v>29</v>
      </c>
      <c r="S5" s="4" t="s">
        <v>30</v>
      </c>
      <c r="T5" s="8" t="s">
        <v>31</v>
      </c>
      <c r="U5" s="9" t="s">
        <v>28</v>
      </c>
      <c r="V5" s="4" t="s">
        <v>29</v>
      </c>
      <c r="W5" s="4" t="s">
        <v>30</v>
      </c>
      <c r="X5" s="8" t="s">
        <v>31</v>
      </c>
      <c r="Y5" s="9" t="s">
        <v>28</v>
      </c>
      <c r="Z5" s="4" t="s">
        <v>29</v>
      </c>
      <c r="AA5" s="4" t="s">
        <v>30</v>
      </c>
      <c r="AB5" s="8" t="s">
        <v>31</v>
      </c>
      <c r="AC5" s="9" t="s">
        <v>28</v>
      </c>
      <c r="AD5" s="4" t="s">
        <v>29</v>
      </c>
      <c r="AE5" s="4" t="s">
        <v>30</v>
      </c>
      <c r="AF5" s="8" t="s">
        <v>31</v>
      </c>
      <c r="AG5" s="331" t="s">
        <v>32</v>
      </c>
      <c r="AH5" s="255" t="s">
        <v>33</v>
      </c>
      <c r="AI5" s="255" t="s">
        <v>34</v>
      </c>
      <c r="AJ5" s="258" t="s">
        <v>35</v>
      </c>
    </row>
    <row r="6" spans="1:36" ht="11.25">
      <c r="A6" s="9" t="s">
        <v>13</v>
      </c>
      <c r="B6" s="4">
        <v>2</v>
      </c>
      <c r="C6" s="4"/>
      <c r="D6" s="38" t="s">
        <v>14</v>
      </c>
      <c r="E6" s="9">
        <f>D6+1</f>
        <v>4</v>
      </c>
      <c r="F6" s="4">
        <f aca="true" t="shared" si="0" ref="F6:AF6">E6+1</f>
        <v>5</v>
      </c>
      <c r="G6" s="4">
        <f t="shared" si="0"/>
        <v>6</v>
      </c>
      <c r="H6" s="8">
        <f t="shared" si="0"/>
        <v>7</v>
      </c>
      <c r="I6" s="9">
        <f t="shared" si="0"/>
        <v>8</v>
      </c>
      <c r="J6" s="4">
        <f t="shared" si="0"/>
        <v>9</v>
      </c>
      <c r="K6" s="4">
        <f t="shared" si="0"/>
        <v>10</v>
      </c>
      <c r="L6" s="8">
        <f t="shared" si="0"/>
        <v>11</v>
      </c>
      <c r="M6" s="9">
        <f t="shared" si="0"/>
        <v>12</v>
      </c>
      <c r="N6" s="4">
        <f t="shared" si="0"/>
        <v>13</v>
      </c>
      <c r="O6" s="4">
        <f t="shared" si="0"/>
        <v>14</v>
      </c>
      <c r="P6" s="8">
        <f t="shared" si="0"/>
        <v>15</v>
      </c>
      <c r="Q6" s="9">
        <f t="shared" si="0"/>
        <v>16</v>
      </c>
      <c r="R6" s="4">
        <f t="shared" si="0"/>
        <v>17</v>
      </c>
      <c r="S6" s="4">
        <f t="shared" si="0"/>
        <v>18</v>
      </c>
      <c r="T6" s="8">
        <f t="shared" si="0"/>
        <v>19</v>
      </c>
      <c r="U6" s="9">
        <f t="shared" si="0"/>
        <v>20</v>
      </c>
      <c r="V6" s="4">
        <f t="shared" si="0"/>
        <v>21</v>
      </c>
      <c r="W6" s="4">
        <f t="shared" si="0"/>
        <v>22</v>
      </c>
      <c r="X6" s="8">
        <f t="shared" si="0"/>
        <v>23</v>
      </c>
      <c r="Y6" s="9">
        <f t="shared" si="0"/>
        <v>24</v>
      </c>
      <c r="Z6" s="4">
        <f t="shared" si="0"/>
        <v>25</v>
      </c>
      <c r="AA6" s="4">
        <f t="shared" si="0"/>
        <v>26</v>
      </c>
      <c r="AB6" s="8">
        <f t="shared" si="0"/>
        <v>27</v>
      </c>
      <c r="AC6" s="9">
        <f t="shared" si="0"/>
        <v>28</v>
      </c>
      <c r="AD6" s="4">
        <f t="shared" si="0"/>
        <v>29</v>
      </c>
      <c r="AE6" s="4">
        <f t="shared" si="0"/>
        <v>30</v>
      </c>
      <c r="AF6" s="8">
        <f t="shared" si="0"/>
        <v>31</v>
      </c>
      <c r="AG6" s="62"/>
      <c r="AH6" s="4"/>
      <c r="AI6" s="4"/>
      <c r="AJ6" s="8"/>
    </row>
    <row r="7" spans="1:36" ht="11.25">
      <c r="A7" s="5" t="s">
        <v>36</v>
      </c>
      <c r="B7" s="39" t="s">
        <v>37</v>
      </c>
      <c r="C7" s="39" t="s">
        <v>38</v>
      </c>
      <c r="D7" s="12" t="s">
        <v>909</v>
      </c>
      <c r="E7" s="40">
        <f>SUM(E8:E17)</f>
        <v>0</v>
      </c>
      <c r="F7" s="55">
        <f aca="true" t="shared" si="1" ref="F7:AF7">SUM(F8:F17)</f>
        <v>0</v>
      </c>
      <c r="G7" s="55">
        <f t="shared" si="1"/>
        <v>0</v>
      </c>
      <c r="H7" s="56">
        <f t="shared" si="1"/>
        <v>0</v>
      </c>
      <c r="I7" s="40">
        <f t="shared" si="1"/>
        <v>0</v>
      </c>
      <c r="J7" s="55">
        <f t="shared" si="1"/>
        <v>0</v>
      </c>
      <c r="K7" s="55">
        <f t="shared" si="1"/>
        <v>0</v>
      </c>
      <c r="L7" s="56">
        <f t="shared" si="1"/>
        <v>0</v>
      </c>
      <c r="M7" s="40">
        <f t="shared" si="1"/>
        <v>0</v>
      </c>
      <c r="N7" s="55">
        <f t="shared" si="1"/>
        <v>0</v>
      </c>
      <c r="O7" s="55">
        <f t="shared" si="1"/>
        <v>0</v>
      </c>
      <c r="P7" s="56">
        <f t="shared" si="1"/>
        <v>0</v>
      </c>
      <c r="Q7" s="40">
        <f t="shared" si="1"/>
        <v>0</v>
      </c>
      <c r="R7" s="55">
        <f t="shared" si="1"/>
        <v>0</v>
      </c>
      <c r="S7" s="55">
        <f t="shared" si="1"/>
        <v>0</v>
      </c>
      <c r="T7" s="56">
        <f t="shared" si="1"/>
        <v>0</v>
      </c>
      <c r="U7" s="40">
        <f t="shared" si="1"/>
        <v>0</v>
      </c>
      <c r="V7" s="55">
        <f t="shared" si="1"/>
        <v>0</v>
      </c>
      <c r="W7" s="55">
        <f t="shared" si="1"/>
        <v>0</v>
      </c>
      <c r="X7" s="56">
        <f t="shared" si="1"/>
        <v>0</v>
      </c>
      <c r="Y7" s="40">
        <f t="shared" si="1"/>
        <v>0</v>
      </c>
      <c r="Z7" s="55">
        <f t="shared" si="1"/>
        <v>0</v>
      </c>
      <c r="AA7" s="55">
        <f t="shared" si="1"/>
        <v>0</v>
      </c>
      <c r="AB7" s="56">
        <f t="shared" si="1"/>
        <v>0</v>
      </c>
      <c r="AC7" s="40">
        <f t="shared" si="1"/>
        <v>0</v>
      </c>
      <c r="AD7" s="55">
        <f t="shared" si="1"/>
        <v>0</v>
      </c>
      <c r="AE7" s="55">
        <f t="shared" si="1"/>
        <v>0</v>
      </c>
      <c r="AF7" s="56">
        <f t="shared" si="1"/>
        <v>0</v>
      </c>
      <c r="AG7" s="333">
        <f>IF(ISERROR(AC7/M7),0,AC7/M7)</f>
        <v>0</v>
      </c>
      <c r="AH7" s="333">
        <f aca="true" t="shared" si="2" ref="AH7:AJ21">IF(ISERROR(AD7/N7),0,AD7/N7)</f>
        <v>0</v>
      </c>
      <c r="AI7" s="333">
        <f t="shared" si="2"/>
        <v>0</v>
      </c>
      <c r="AJ7" s="333">
        <f t="shared" si="2"/>
        <v>0</v>
      </c>
    </row>
    <row r="8" spans="1:36" ht="33.75">
      <c r="A8" s="5" t="s">
        <v>39</v>
      </c>
      <c r="B8" s="39" t="s">
        <v>40</v>
      </c>
      <c r="C8" s="39" t="s">
        <v>41</v>
      </c>
      <c r="D8" s="12" t="s">
        <v>909</v>
      </c>
      <c r="E8" s="385"/>
      <c r="F8" s="386"/>
      <c r="G8" s="386"/>
      <c r="H8" s="387"/>
      <c r="I8" s="385"/>
      <c r="J8" s="386"/>
      <c r="K8" s="386"/>
      <c r="L8" s="387"/>
      <c r="M8" s="385"/>
      <c r="N8" s="386"/>
      <c r="O8" s="386"/>
      <c r="P8" s="387"/>
      <c r="Q8" s="385"/>
      <c r="R8" s="386"/>
      <c r="S8" s="386"/>
      <c r="T8" s="387"/>
      <c r="U8" s="385"/>
      <c r="V8" s="386"/>
      <c r="W8" s="386"/>
      <c r="X8" s="387"/>
      <c r="Y8" s="385"/>
      <c r="Z8" s="386"/>
      <c r="AA8" s="386"/>
      <c r="AB8" s="387"/>
      <c r="AC8" s="611">
        <f>U8+Y8</f>
        <v>0</v>
      </c>
      <c r="AD8" s="611">
        <f aca="true" t="shared" si="3" ref="AD8:AF20">V8+Z8</f>
        <v>0</v>
      </c>
      <c r="AE8" s="611">
        <f t="shared" si="3"/>
        <v>0</v>
      </c>
      <c r="AF8" s="612">
        <f t="shared" si="3"/>
        <v>0</v>
      </c>
      <c r="AG8" s="333">
        <f>IF(ISERROR(AC8/M8),0,AC8/M8)</f>
        <v>0</v>
      </c>
      <c r="AH8" s="333">
        <f t="shared" si="2"/>
        <v>0</v>
      </c>
      <c r="AI8" s="333">
        <f t="shared" si="2"/>
        <v>0</v>
      </c>
      <c r="AJ8" s="333">
        <f t="shared" si="2"/>
        <v>0</v>
      </c>
    </row>
    <row r="9" spans="1:36" ht="45">
      <c r="A9" s="5" t="s">
        <v>42</v>
      </c>
      <c r="B9" s="39" t="s">
        <v>43</v>
      </c>
      <c r="C9" s="39" t="s">
        <v>44</v>
      </c>
      <c r="D9" s="12" t="s">
        <v>909</v>
      </c>
      <c r="E9" s="385"/>
      <c r="F9" s="386"/>
      <c r="G9" s="386"/>
      <c r="H9" s="387"/>
      <c r="I9" s="385"/>
      <c r="J9" s="386"/>
      <c r="K9" s="386"/>
      <c r="L9" s="387"/>
      <c r="M9" s="385"/>
      <c r="N9" s="386"/>
      <c r="O9" s="386"/>
      <c r="P9" s="387"/>
      <c r="Q9" s="385"/>
      <c r="R9" s="386"/>
      <c r="S9" s="386"/>
      <c r="T9" s="387"/>
      <c r="U9" s="385"/>
      <c r="V9" s="386"/>
      <c r="W9" s="386"/>
      <c r="X9" s="387"/>
      <c r="Y9" s="385"/>
      <c r="Z9" s="386"/>
      <c r="AA9" s="386"/>
      <c r="AB9" s="387"/>
      <c r="AC9" s="611">
        <f aca="true" t="shared" si="4" ref="AC9:AC20">U9+Y9</f>
        <v>0</v>
      </c>
      <c r="AD9" s="611">
        <f t="shared" si="3"/>
        <v>0</v>
      </c>
      <c r="AE9" s="611">
        <f t="shared" si="3"/>
        <v>0</v>
      </c>
      <c r="AF9" s="612">
        <f t="shared" si="3"/>
        <v>0</v>
      </c>
      <c r="AG9" s="333">
        <f aca="true" t="shared" si="5" ref="AG9:AG20">IF(ISERROR(AC9/M9),0,AC9/M9)</f>
        <v>0</v>
      </c>
      <c r="AH9" s="333">
        <f t="shared" si="2"/>
        <v>0</v>
      </c>
      <c r="AI9" s="333">
        <f t="shared" si="2"/>
        <v>0</v>
      </c>
      <c r="AJ9" s="333">
        <f t="shared" si="2"/>
        <v>0</v>
      </c>
    </row>
    <row r="10" spans="1:36" ht="22.5">
      <c r="A10" s="5" t="s">
        <v>45</v>
      </c>
      <c r="B10" s="39" t="s">
        <v>46</v>
      </c>
      <c r="C10" s="39" t="s">
        <v>47</v>
      </c>
      <c r="D10" s="12" t="s">
        <v>909</v>
      </c>
      <c r="E10" s="385"/>
      <c r="F10" s="386"/>
      <c r="G10" s="386"/>
      <c r="H10" s="387"/>
      <c r="I10" s="385"/>
      <c r="J10" s="386"/>
      <c r="K10" s="386"/>
      <c r="L10" s="387"/>
      <c r="M10" s="385"/>
      <c r="N10" s="386"/>
      <c r="O10" s="386"/>
      <c r="P10" s="387"/>
      <c r="Q10" s="385"/>
      <c r="R10" s="386"/>
      <c r="S10" s="386"/>
      <c r="T10" s="387"/>
      <c r="U10" s="385"/>
      <c r="V10" s="386"/>
      <c r="W10" s="386"/>
      <c r="X10" s="387"/>
      <c r="Y10" s="385"/>
      <c r="Z10" s="386"/>
      <c r="AA10" s="386"/>
      <c r="AB10" s="387"/>
      <c r="AC10" s="611">
        <f t="shared" si="4"/>
        <v>0</v>
      </c>
      <c r="AD10" s="611">
        <f t="shared" si="3"/>
        <v>0</v>
      </c>
      <c r="AE10" s="611">
        <f t="shared" si="3"/>
        <v>0</v>
      </c>
      <c r="AF10" s="612">
        <f t="shared" si="3"/>
        <v>0</v>
      </c>
      <c r="AG10" s="333">
        <f t="shared" si="5"/>
        <v>0</v>
      </c>
      <c r="AH10" s="333">
        <f t="shared" si="2"/>
        <v>0</v>
      </c>
      <c r="AI10" s="333">
        <f t="shared" si="2"/>
        <v>0</v>
      </c>
      <c r="AJ10" s="333">
        <f t="shared" si="2"/>
        <v>0</v>
      </c>
    </row>
    <row r="11" spans="1:36" ht="56.25">
      <c r="A11" s="5" t="s">
        <v>48</v>
      </c>
      <c r="B11" s="39" t="s">
        <v>49</v>
      </c>
      <c r="C11" s="39" t="s">
        <v>50</v>
      </c>
      <c r="D11" s="12" t="s">
        <v>909</v>
      </c>
      <c r="E11" s="385"/>
      <c r="F11" s="386"/>
      <c r="G11" s="386"/>
      <c r="H11" s="387"/>
      <c r="I11" s="385"/>
      <c r="J11" s="386"/>
      <c r="K11" s="386"/>
      <c r="L11" s="387"/>
      <c r="M11" s="385"/>
      <c r="N11" s="386"/>
      <c r="O11" s="386"/>
      <c r="P11" s="387"/>
      <c r="Q11" s="385"/>
      <c r="R11" s="386"/>
      <c r="S11" s="386"/>
      <c r="T11" s="387"/>
      <c r="U11" s="385"/>
      <c r="V11" s="386"/>
      <c r="W11" s="386"/>
      <c r="X11" s="387"/>
      <c r="Y11" s="385"/>
      <c r="Z11" s="386"/>
      <c r="AA11" s="386"/>
      <c r="AB11" s="387"/>
      <c r="AC11" s="611">
        <f t="shared" si="4"/>
        <v>0</v>
      </c>
      <c r="AD11" s="611">
        <f t="shared" si="3"/>
        <v>0</v>
      </c>
      <c r="AE11" s="611">
        <f t="shared" si="3"/>
        <v>0</v>
      </c>
      <c r="AF11" s="612">
        <f t="shared" si="3"/>
        <v>0</v>
      </c>
      <c r="AG11" s="333">
        <f t="shared" si="5"/>
        <v>0</v>
      </c>
      <c r="AH11" s="333">
        <f t="shared" si="2"/>
        <v>0</v>
      </c>
      <c r="AI11" s="333">
        <f t="shared" si="2"/>
        <v>0</v>
      </c>
      <c r="AJ11" s="333">
        <f t="shared" si="2"/>
        <v>0</v>
      </c>
    </row>
    <row r="12" spans="1:36" ht="67.5">
      <c r="A12" s="5" t="s">
        <v>51</v>
      </c>
      <c r="B12" s="39" t="s">
        <v>52</v>
      </c>
      <c r="C12" s="39" t="s">
        <v>53</v>
      </c>
      <c r="D12" s="12" t="s">
        <v>909</v>
      </c>
      <c r="E12" s="385"/>
      <c r="F12" s="386"/>
      <c r="G12" s="386"/>
      <c r="H12" s="387"/>
      <c r="I12" s="385"/>
      <c r="J12" s="386"/>
      <c r="K12" s="386"/>
      <c r="L12" s="387"/>
      <c r="M12" s="385"/>
      <c r="N12" s="386"/>
      <c r="O12" s="386"/>
      <c r="P12" s="387"/>
      <c r="Q12" s="385"/>
      <c r="R12" s="386"/>
      <c r="S12" s="386"/>
      <c r="T12" s="387"/>
      <c r="U12" s="385"/>
      <c r="V12" s="386"/>
      <c r="W12" s="386"/>
      <c r="X12" s="387"/>
      <c r="Y12" s="385"/>
      <c r="Z12" s="386"/>
      <c r="AA12" s="386"/>
      <c r="AB12" s="387"/>
      <c r="AC12" s="611">
        <f t="shared" si="4"/>
        <v>0</v>
      </c>
      <c r="AD12" s="611">
        <f t="shared" si="3"/>
        <v>0</v>
      </c>
      <c r="AE12" s="611">
        <f t="shared" si="3"/>
        <v>0</v>
      </c>
      <c r="AF12" s="612">
        <f t="shared" si="3"/>
        <v>0</v>
      </c>
      <c r="AG12" s="333">
        <f t="shared" si="5"/>
        <v>0</v>
      </c>
      <c r="AH12" s="333">
        <f t="shared" si="2"/>
        <v>0</v>
      </c>
      <c r="AI12" s="333">
        <f t="shared" si="2"/>
        <v>0</v>
      </c>
      <c r="AJ12" s="333">
        <f t="shared" si="2"/>
        <v>0</v>
      </c>
    </row>
    <row r="13" spans="1:36" ht="11.25">
      <c r="A13" s="5" t="s">
        <v>54</v>
      </c>
      <c r="B13" s="39" t="s">
        <v>55</v>
      </c>
      <c r="C13" s="39" t="s">
        <v>56</v>
      </c>
      <c r="D13" s="12" t="s">
        <v>909</v>
      </c>
      <c r="E13" s="385"/>
      <c r="F13" s="386"/>
      <c r="G13" s="388"/>
      <c r="H13" s="387"/>
      <c r="I13" s="385"/>
      <c r="J13" s="386"/>
      <c r="K13" s="386"/>
      <c r="L13" s="387"/>
      <c r="M13" s="385"/>
      <c r="N13" s="386"/>
      <c r="O13" s="386"/>
      <c r="P13" s="387"/>
      <c r="Q13" s="385"/>
      <c r="R13" s="386"/>
      <c r="S13" s="386"/>
      <c r="T13" s="387"/>
      <c r="U13" s="385"/>
      <c r="V13" s="386"/>
      <c r="W13" s="386"/>
      <c r="X13" s="387"/>
      <c r="Y13" s="385"/>
      <c r="Z13" s="386"/>
      <c r="AA13" s="386"/>
      <c r="AB13" s="387"/>
      <c r="AC13" s="611">
        <f t="shared" si="4"/>
        <v>0</v>
      </c>
      <c r="AD13" s="611">
        <f t="shared" si="3"/>
        <v>0</v>
      </c>
      <c r="AE13" s="611">
        <f t="shared" si="3"/>
        <v>0</v>
      </c>
      <c r="AF13" s="612">
        <f t="shared" si="3"/>
        <v>0</v>
      </c>
      <c r="AG13" s="333">
        <f t="shared" si="5"/>
        <v>0</v>
      </c>
      <c r="AH13" s="333">
        <f t="shared" si="2"/>
        <v>0</v>
      </c>
      <c r="AI13" s="333">
        <f t="shared" si="2"/>
        <v>0</v>
      </c>
      <c r="AJ13" s="333">
        <f t="shared" si="2"/>
        <v>0</v>
      </c>
    </row>
    <row r="14" spans="1:36" ht="22.5">
      <c r="A14" s="5" t="s">
        <v>57</v>
      </c>
      <c r="B14" s="39" t="s">
        <v>58</v>
      </c>
      <c r="C14" s="39" t="s">
        <v>59</v>
      </c>
      <c r="D14" s="12" t="s">
        <v>909</v>
      </c>
      <c r="E14" s="385"/>
      <c r="F14" s="386"/>
      <c r="G14" s="386"/>
      <c r="H14" s="387"/>
      <c r="I14" s="385"/>
      <c r="J14" s="386"/>
      <c r="K14" s="386"/>
      <c r="L14" s="387"/>
      <c r="M14" s="385"/>
      <c r="N14" s="386"/>
      <c r="O14" s="386"/>
      <c r="P14" s="387"/>
      <c r="Q14" s="385"/>
      <c r="R14" s="386"/>
      <c r="S14" s="386"/>
      <c r="T14" s="387"/>
      <c r="U14" s="385"/>
      <c r="V14" s="386"/>
      <c r="W14" s="386"/>
      <c r="X14" s="387"/>
      <c r="Y14" s="385"/>
      <c r="Z14" s="386"/>
      <c r="AA14" s="386"/>
      <c r="AB14" s="387"/>
      <c r="AC14" s="611">
        <f t="shared" si="4"/>
        <v>0</v>
      </c>
      <c r="AD14" s="611">
        <f t="shared" si="3"/>
        <v>0</v>
      </c>
      <c r="AE14" s="611">
        <f t="shared" si="3"/>
        <v>0</v>
      </c>
      <c r="AF14" s="612">
        <f t="shared" si="3"/>
        <v>0</v>
      </c>
      <c r="AG14" s="333">
        <f t="shared" si="5"/>
        <v>0</v>
      </c>
      <c r="AH14" s="333">
        <f t="shared" si="2"/>
        <v>0</v>
      </c>
      <c r="AI14" s="333">
        <f t="shared" si="2"/>
        <v>0</v>
      </c>
      <c r="AJ14" s="333">
        <f t="shared" si="2"/>
        <v>0</v>
      </c>
    </row>
    <row r="15" spans="1:36" ht="11.25">
      <c r="A15" s="5" t="s">
        <v>60</v>
      </c>
      <c r="B15" s="39" t="s">
        <v>61</v>
      </c>
      <c r="C15" s="39" t="s">
        <v>62</v>
      </c>
      <c r="D15" s="12" t="s">
        <v>909</v>
      </c>
      <c r="E15" s="385"/>
      <c r="F15" s="386"/>
      <c r="G15" s="386"/>
      <c r="H15" s="387"/>
      <c r="I15" s="385"/>
      <c r="J15" s="386"/>
      <c r="K15" s="386"/>
      <c r="L15" s="387"/>
      <c r="M15" s="385"/>
      <c r="N15" s="386"/>
      <c r="O15" s="386"/>
      <c r="P15" s="387"/>
      <c r="Q15" s="389"/>
      <c r="R15" s="386"/>
      <c r="S15" s="386"/>
      <c r="T15" s="387"/>
      <c r="U15" s="385"/>
      <c r="V15" s="386"/>
      <c r="W15" s="386"/>
      <c r="X15" s="387"/>
      <c r="Y15" s="385"/>
      <c r="Z15" s="386"/>
      <c r="AA15" s="386"/>
      <c r="AB15" s="387"/>
      <c r="AC15" s="611">
        <f t="shared" si="4"/>
        <v>0</v>
      </c>
      <c r="AD15" s="611">
        <f t="shared" si="3"/>
        <v>0</v>
      </c>
      <c r="AE15" s="611">
        <f t="shared" si="3"/>
        <v>0</v>
      </c>
      <c r="AF15" s="612">
        <f t="shared" si="3"/>
        <v>0</v>
      </c>
      <c r="AG15" s="333">
        <f t="shared" si="5"/>
        <v>0</v>
      </c>
      <c r="AH15" s="333">
        <f t="shared" si="2"/>
        <v>0</v>
      </c>
      <c r="AI15" s="333">
        <f t="shared" si="2"/>
        <v>0</v>
      </c>
      <c r="AJ15" s="333">
        <f t="shared" si="2"/>
        <v>0</v>
      </c>
    </row>
    <row r="16" spans="1:36" ht="22.5">
      <c r="A16" s="5" t="s">
        <v>63</v>
      </c>
      <c r="B16" s="39" t="s">
        <v>64</v>
      </c>
      <c r="C16" s="39" t="s">
        <v>65</v>
      </c>
      <c r="D16" s="12" t="s">
        <v>909</v>
      </c>
      <c r="E16" s="385"/>
      <c r="F16" s="386"/>
      <c r="G16" s="386"/>
      <c r="H16" s="387"/>
      <c r="I16" s="385"/>
      <c r="J16" s="386"/>
      <c r="K16" s="386"/>
      <c r="L16" s="387"/>
      <c r="M16" s="385"/>
      <c r="N16" s="386"/>
      <c r="O16" s="386"/>
      <c r="P16" s="387"/>
      <c r="Q16" s="385"/>
      <c r="R16" s="386"/>
      <c r="S16" s="386"/>
      <c r="T16" s="387"/>
      <c r="U16" s="385"/>
      <c r="V16" s="386"/>
      <c r="W16" s="386"/>
      <c r="X16" s="387"/>
      <c r="Y16" s="385"/>
      <c r="Z16" s="386"/>
      <c r="AA16" s="386"/>
      <c r="AB16" s="387"/>
      <c r="AC16" s="611">
        <f t="shared" si="4"/>
        <v>0</v>
      </c>
      <c r="AD16" s="611">
        <f t="shared" si="3"/>
        <v>0</v>
      </c>
      <c r="AE16" s="611">
        <f t="shared" si="3"/>
        <v>0</v>
      </c>
      <c r="AF16" s="612">
        <f t="shared" si="3"/>
        <v>0</v>
      </c>
      <c r="AG16" s="333">
        <f t="shared" si="5"/>
        <v>0</v>
      </c>
      <c r="AH16" s="333">
        <f t="shared" si="2"/>
        <v>0</v>
      </c>
      <c r="AI16" s="333">
        <f t="shared" si="2"/>
        <v>0</v>
      </c>
      <c r="AJ16" s="333">
        <f t="shared" si="2"/>
        <v>0</v>
      </c>
    </row>
    <row r="17" spans="1:36" ht="22.5">
      <c r="A17" s="5" t="s">
        <v>66</v>
      </c>
      <c r="B17" s="39" t="s">
        <v>67</v>
      </c>
      <c r="C17" s="39" t="s">
        <v>68</v>
      </c>
      <c r="D17" s="12" t="s">
        <v>909</v>
      </c>
      <c r="E17" s="385"/>
      <c r="F17" s="386"/>
      <c r="G17" s="386"/>
      <c r="H17" s="387"/>
      <c r="I17" s="385"/>
      <c r="J17" s="386"/>
      <c r="K17" s="386"/>
      <c r="L17" s="387"/>
      <c r="M17" s="385"/>
      <c r="N17" s="386"/>
      <c r="O17" s="386"/>
      <c r="P17" s="387"/>
      <c r="Q17" s="385"/>
      <c r="R17" s="386"/>
      <c r="S17" s="386"/>
      <c r="T17" s="387"/>
      <c r="U17" s="385"/>
      <c r="V17" s="386"/>
      <c r="W17" s="386"/>
      <c r="X17" s="387"/>
      <c r="Y17" s="385"/>
      <c r="Z17" s="386"/>
      <c r="AA17" s="386"/>
      <c r="AB17" s="387"/>
      <c r="AC17" s="611">
        <f t="shared" si="4"/>
        <v>0</v>
      </c>
      <c r="AD17" s="611">
        <f t="shared" si="3"/>
        <v>0</v>
      </c>
      <c r="AE17" s="611">
        <f t="shared" si="3"/>
        <v>0</v>
      </c>
      <c r="AF17" s="612">
        <f t="shared" si="3"/>
        <v>0</v>
      </c>
      <c r="AG17" s="333">
        <f t="shared" si="5"/>
        <v>0</v>
      </c>
      <c r="AH17" s="333">
        <f t="shared" si="2"/>
        <v>0</v>
      </c>
      <c r="AI17" s="333">
        <f t="shared" si="2"/>
        <v>0</v>
      </c>
      <c r="AJ17" s="333">
        <f t="shared" si="2"/>
        <v>0</v>
      </c>
    </row>
    <row r="18" spans="1:36" ht="11.25">
      <c r="A18" s="5" t="s">
        <v>69</v>
      </c>
      <c r="B18" s="39" t="s">
        <v>70</v>
      </c>
      <c r="C18" s="39" t="s">
        <v>71</v>
      </c>
      <c r="D18" s="12" t="s">
        <v>909</v>
      </c>
      <c r="E18" s="385"/>
      <c r="F18" s="386"/>
      <c r="G18" s="386"/>
      <c r="H18" s="387"/>
      <c r="I18" s="385"/>
      <c r="J18" s="386"/>
      <c r="K18" s="386"/>
      <c r="L18" s="387"/>
      <c r="M18" s="385"/>
      <c r="N18" s="386"/>
      <c r="O18" s="386"/>
      <c r="P18" s="387"/>
      <c r="Q18" s="385"/>
      <c r="R18" s="386"/>
      <c r="S18" s="386"/>
      <c r="T18" s="387"/>
      <c r="U18" s="385"/>
      <c r="V18" s="386"/>
      <c r="W18" s="386"/>
      <c r="X18" s="387"/>
      <c r="Y18" s="385"/>
      <c r="Z18" s="386"/>
      <c r="AA18" s="386"/>
      <c r="AB18" s="387"/>
      <c r="AC18" s="611">
        <f t="shared" si="4"/>
        <v>0</v>
      </c>
      <c r="AD18" s="611">
        <f t="shared" si="3"/>
        <v>0</v>
      </c>
      <c r="AE18" s="611">
        <f t="shared" si="3"/>
        <v>0</v>
      </c>
      <c r="AF18" s="612">
        <f t="shared" si="3"/>
        <v>0</v>
      </c>
      <c r="AG18" s="333">
        <f t="shared" si="5"/>
        <v>0</v>
      </c>
      <c r="AH18" s="333">
        <f t="shared" si="2"/>
        <v>0</v>
      </c>
      <c r="AI18" s="333">
        <f t="shared" si="2"/>
        <v>0</v>
      </c>
      <c r="AJ18" s="333">
        <f t="shared" si="2"/>
        <v>0</v>
      </c>
    </row>
    <row r="19" spans="1:36" ht="11.25">
      <c r="A19" s="5" t="s">
        <v>72</v>
      </c>
      <c r="B19" s="39" t="s">
        <v>73</v>
      </c>
      <c r="C19" s="39" t="s">
        <v>74</v>
      </c>
      <c r="D19" s="12" t="s">
        <v>909</v>
      </c>
      <c r="E19" s="385"/>
      <c r="F19" s="386"/>
      <c r="G19" s="386"/>
      <c r="H19" s="387"/>
      <c r="I19" s="385"/>
      <c r="J19" s="386"/>
      <c r="K19" s="386"/>
      <c r="L19" s="387"/>
      <c r="M19" s="385"/>
      <c r="N19" s="386"/>
      <c r="O19" s="386"/>
      <c r="P19" s="387"/>
      <c r="Q19" s="385"/>
      <c r="R19" s="386"/>
      <c r="S19" s="386"/>
      <c r="T19" s="387"/>
      <c r="U19" s="385"/>
      <c r="V19" s="386"/>
      <c r="W19" s="386"/>
      <c r="X19" s="387"/>
      <c r="Y19" s="385"/>
      <c r="Z19" s="386"/>
      <c r="AA19" s="386"/>
      <c r="AB19" s="387"/>
      <c r="AC19" s="611">
        <f t="shared" si="4"/>
        <v>0</v>
      </c>
      <c r="AD19" s="611">
        <f t="shared" si="3"/>
        <v>0</v>
      </c>
      <c r="AE19" s="611">
        <f t="shared" si="3"/>
        <v>0</v>
      </c>
      <c r="AF19" s="612">
        <f t="shared" si="3"/>
        <v>0</v>
      </c>
      <c r="AG19" s="333">
        <f t="shared" si="5"/>
        <v>0</v>
      </c>
      <c r="AH19" s="333">
        <f t="shared" si="2"/>
        <v>0</v>
      </c>
      <c r="AI19" s="333">
        <f t="shared" si="2"/>
        <v>0</v>
      </c>
      <c r="AJ19" s="333">
        <f t="shared" si="2"/>
        <v>0</v>
      </c>
    </row>
    <row r="20" spans="1:36" ht="33.75">
      <c r="A20" s="5" t="s">
        <v>75</v>
      </c>
      <c r="B20" s="39" t="s">
        <v>76</v>
      </c>
      <c r="C20" s="39" t="s">
        <v>77</v>
      </c>
      <c r="D20" s="12" t="s">
        <v>909</v>
      </c>
      <c r="E20" s="385"/>
      <c r="F20" s="386"/>
      <c r="G20" s="386"/>
      <c r="H20" s="387"/>
      <c r="I20" s="385"/>
      <c r="J20" s="386"/>
      <c r="K20" s="386"/>
      <c r="L20" s="387"/>
      <c r="M20" s="385"/>
      <c r="N20" s="386"/>
      <c r="O20" s="386"/>
      <c r="P20" s="387"/>
      <c r="Q20" s="385"/>
      <c r="R20" s="386"/>
      <c r="S20" s="386"/>
      <c r="T20" s="387"/>
      <c r="U20" s="385"/>
      <c r="V20" s="386"/>
      <c r="W20" s="386"/>
      <c r="X20" s="387"/>
      <c r="Y20" s="385"/>
      <c r="Z20" s="386"/>
      <c r="AA20" s="386"/>
      <c r="AB20" s="387"/>
      <c r="AC20" s="611">
        <f t="shared" si="4"/>
        <v>0</v>
      </c>
      <c r="AD20" s="611">
        <f t="shared" si="3"/>
        <v>0</v>
      </c>
      <c r="AE20" s="611">
        <f t="shared" si="3"/>
        <v>0</v>
      </c>
      <c r="AF20" s="612">
        <f t="shared" si="3"/>
        <v>0</v>
      </c>
      <c r="AG20" s="333">
        <f t="shared" si="5"/>
        <v>0</v>
      </c>
      <c r="AH20" s="333">
        <f t="shared" si="2"/>
        <v>0</v>
      </c>
      <c r="AI20" s="333">
        <f t="shared" si="2"/>
        <v>0</v>
      </c>
      <c r="AJ20" s="333">
        <f t="shared" si="2"/>
        <v>0</v>
      </c>
    </row>
    <row r="21" spans="1:36" ht="12" thickBot="1">
      <c r="A21" s="42" t="s">
        <v>78</v>
      </c>
      <c r="B21" s="43" t="s">
        <v>79</v>
      </c>
      <c r="C21" s="43" t="s">
        <v>80</v>
      </c>
      <c r="D21" s="44" t="s">
        <v>909</v>
      </c>
      <c r="E21" s="45">
        <f>E7+E18+E20</f>
        <v>0</v>
      </c>
      <c r="F21" s="65">
        <f aca="true" t="shared" si="6" ref="F21:AF21">F7+F18+F20</f>
        <v>0</v>
      </c>
      <c r="G21" s="65">
        <f t="shared" si="6"/>
        <v>0</v>
      </c>
      <c r="H21" s="66">
        <f t="shared" si="6"/>
        <v>0</v>
      </c>
      <c r="I21" s="45">
        <f t="shared" si="6"/>
        <v>0</v>
      </c>
      <c r="J21" s="65">
        <f t="shared" si="6"/>
        <v>0</v>
      </c>
      <c r="K21" s="65">
        <f t="shared" si="6"/>
        <v>0</v>
      </c>
      <c r="L21" s="66">
        <f t="shared" si="6"/>
        <v>0</v>
      </c>
      <c r="M21" s="45">
        <f t="shared" si="6"/>
        <v>0</v>
      </c>
      <c r="N21" s="65">
        <f t="shared" si="6"/>
        <v>0</v>
      </c>
      <c r="O21" s="65">
        <f t="shared" si="6"/>
        <v>0</v>
      </c>
      <c r="P21" s="66">
        <f t="shared" si="6"/>
        <v>0</v>
      </c>
      <c r="Q21" s="45">
        <f t="shared" si="6"/>
        <v>0</v>
      </c>
      <c r="R21" s="65">
        <f t="shared" si="6"/>
        <v>0</v>
      </c>
      <c r="S21" s="65">
        <f t="shared" si="6"/>
        <v>0</v>
      </c>
      <c r="T21" s="66">
        <f t="shared" si="6"/>
        <v>0</v>
      </c>
      <c r="U21" s="45">
        <f t="shared" si="6"/>
        <v>0</v>
      </c>
      <c r="V21" s="65">
        <f t="shared" si="6"/>
        <v>0</v>
      </c>
      <c r="W21" s="65">
        <f t="shared" si="6"/>
        <v>0</v>
      </c>
      <c r="X21" s="66">
        <f t="shared" si="6"/>
        <v>0</v>
      </c>
      <c r="Y21" s="45">
        <f t="shared" si="6"/>
        <v>0</v>
      </c>
      <c r="Z21" s="65">
        <f t="shared" si="6"/>
        <v>0</v>
      </c>
      <c r="AA21" s="65">
        <f t="shared" si="6"/>
        <v>0</v>
      </c>
      <c r="AB21" s="66">
        <f t="shared" si="6"/>
        <v>0</v>
      </c>
      <c r="AC21" s="45">
        <f t="shared" si="6"/>
        <v>0</v>
      </c>
      <c r="AD21" s="65">
        <f t="shared" si="6"/>
        <v>0</v>
      </c>
      <c r="AE21" s="65">
        <f t="shared" si="6"/>
        <v>0</v>
      </c>
      <c r="AF21" s="66">
        <f t="shared" si="6"/>
        <v>0</v>
      </c>
      <c r="AG21" s="334">
        <f>IF(ISERROR(AC21/M21),0,AC21/M21)</f>
        <v>0</v>
      </c>
      <c r="AH21" s="334">
        <f t="shared" si="2"/>
        <v>0</v>
      </c>
      <c r="AI21" s="334">
        <f t="shared" si="2"/>
        <v>0</v>
      </c>
      <c r="AJ21" s="334">
        <f t="shared" si="2"/>
        <v>0</v>
      </c>
    </row>
    <row r="23" s="14" customFormat="1" ht="11.25"/>
    <row r="24" spans="5:27" s="14" customFormat="1" ht="15">
      <c r="E24" s="576" t="s">
        <v>1291</v>
      </c>
      <c r="F24" s="608"/>
      <c r="G24" s="608"/>
      <c r="H24" s="607"/>
      <c r="I24" s="607"/>
      <c r="J24" s="607"/>
      <c r="K24" s="576" t="s">
        <v>1289</v>
      </c>
      <c r="U24" s="576" t="s">
        <v>1291</v>
      </c>
      <c r="V24" s="608"/>
      <c r="W24" s="608"/>
      <c r="X24" s="607"/>
      <c r="Y24" s="607"/>
      <c r="Z24" s="607"/>
      <c r="AA24" s="576" t="s">
        <v>1289</v>
      </c>
    </row>
    <row r="25" spans="5:27" s="14" customFormat="1" ht="15">
      <c r="E25" s="576"/>
      <c r="F25" s="576"/>
      <c r="G25" s="576"/>
      <c r="H25" s="576"/>
      <c r="I25" s="576" t="s">
        <v>1288</v>
      </c>
      <c r="J25" s="576"/>
      <c r="K25" s="576"/>
      <c r="U25" s="576"/>
      <c r="V25" s="576"/>
      <c r="W25" s="576"/>
      <c r="X25" s="576"/>
      <c r="Y25" s="576" t="s">
        <v>1288</v>
      </c>
      <c r="Z25" s="576"/>
      <c r="AA25" s="576"/>
    </row>
    <row r="26" spans="5:27" s="14" customFormat="1" ht="15">
      <c r="E26" s="576" t="s">
        <v>1290</v>
      </c>
      <c r="F26" s="576"/>
      <c r="G26" s="576"/>
      <c r="H26" s="576"/>
      <c r="I26" s="576"/>
      <c r="J26" s="576"/>
      <c r="K26" s="576"/>
      <c r="U26" s="576" t="s">
        <v>1290</v>
      </c>
      <c r="V26" s="576"/>
      <c r="W26" s="576"/>
      <c r="X26" s="576"/>
      <c r="Y26" s="576"/>
      <c r="Z26" s="576"/>
      <c r="AA26" s="576"/>
    </row>
    <row r="27" s="14" customFormat="1" ht="11.25"/>
    <row r="28" s="14" customFormat="1" ht="11.25"/>
    <row r="29" s="14" customFormat="1" ht="11.25"/>
    <row r="30" s="14" customFormat="1" ht="11.25"/>
    <row r="31" s="14" customFormat="1" ht="11.25"/>
    <row r="32" s="14" customFormat="1" ht="11.25"/>
    <row r="33" s="14" customFormat="1" ht="11.25"/>
    <row r="34" s="14" customFormat="1" ht="11.25"/>
    <row r="35" s="14" customFormat="1" ht="11.25"/>
    <row r="36" s="14" customFormat="1" ht="11.25"/>
    <row r="37" s="14" customFormat="1" ht="11.25"/>
    <row r="38" s="14" customFormat="1" ht="11.25"/>
    <row r="39" s="14" customFormat="1" ht="11.25"/>
    <row r="40" s="14" customFormat="1" ht="11.25"/>
    <row r="41" s="14" customFormat="1" ht="11.25"/>
    <row r="42" s="14" customFormat="1" ht="11.25"/>
    <row r="43" s="14" customFormat="1" ht="11.25"/>
    <row r="44" s="14" customFormat="1" ht="11.25"/>
    <row r="45" s="14" customFormat="1" ht="11.25"/>
    <row r="46" s="14" customFormat="1" ht="11.25"/>
    <row r="47" s="14" customFormat="1" ht="11.25"/>
    <row r="48" s="14" customFormat="1" ht="11.25"/>
    <row r="49" s="14" customFormat="1" ht="11.25"/>
    <row r="50" s="14" customFormat="1" ht="11.25"/>
    <row r="51" s="14" customFormat="1" ht="11.25"/>
    <row r="52" s="14" customFormat="1" ht="11.25"/>
    <row r="53" s="14" customFormat="1" ht="11.25"/>
    <row r="54" s="14" customFormat="1" ht="11.25"/>
    <row r="55" s="14" customFormat="1" ht="11.25"/>
    <row r="56" s="14" customFormat="1" ht="11.25"/>
    <row r="57" s="14" customFormat="1" ht="11.25"/>
    <row r="58" s="14" customFormat="1" ht="11.25"/>
    <row r="59" s="14" customFormat="1" ht="11.25"/>
    <row r="60" s="14" customFormat="1" ht="11.25"/>
    <row r="61" s="14" customFormat="1" ht="11.25"/>
    <row r="62" s="14" customFormat="1" ht="11.25"/>
    <row r="63" s="14" customFormat="1" ht="11.25"/>
  </sheetData>
  <sheetProtection formatColumns="0" formatRows="0"/>
  <protectedRanges>
    <protectedRange sqref="U8:AF20" name="Диапазон1"/>
  </protectedRanges>
  <mergeCells count="13">
    <mergeCell ref="A4:A5"/>
    <mergeCell ref="B4:B5"/>
    <mergeCell ref="D4:D5"/>
    <mergeCell ref="E4:H4"/>
    <mergeCell ref="I4:L4"/>
    <mergeCell ref="E2:R2"/>
    <mergeCell ref="V2:AI2"/>
    <mergeCell ref="M4:P4"/>
    <mergeCell ref="Q4:T4"/>
    <mergeCell ref="U4:X4"/>
    <mergeCell ref="Y4:AB4"/>
    <mergeCell ref="AC4:AF4"/>
    <mergeCell ref="AG4:AJ4"/>
  </mergeCells>
  <dataValidations count="1">
    <dataValidation type="decimal" allowBlank="1" showInputMessage="1" showErrorMessage="1" sqref="E8:AF20">
      <formula1>-10000000000000</formula1>
      <formula2>10000000000000</formula2>
    </dataValidation>
  </dataValidations>
  <printOptions/>
  <pageMargins left="0.5905511811023623" right="0.15748031496062992" top="0.7480314960629921" bottom="0.31496062992125984" header="0.2362204724409449" footer="0.1968503937007874"/>
  <pageSetup horizontalDpi="600" verticalDpi="600" orientation="landscape" paperSize="9" scale="80" r:id="rId1"/>
  <colBreaks count="1" manualBreakCount="1">
    <brk id="20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8"/>
  <dimension ref="A1:AR77"/>
  <sheetViews>
    <sheetView view="pageBreakPreview" zoomScaleSheetLayoutView="100" zoomScalePageLayoutView="0" workbookViewId="0" topLeftCell="A2">
      <pane xSplit="4" topLeftCell="E1" activePane="topRight" state="frozen"/>
      <selection pane="topLeft" activeCell="F41" sqref="F41"/>
      <selection pane="topRight" activeCell="L37" sqref="L37"/>
    </sheetView>
  </sheetViews>
  <sheetFormatPr defaultColWidth="9.140625" defaultRowHeight="11.25"/>
  <cols>
    <col min="1" max="1" width="4.7109375" style="0" customWidth="1"/>
    <col min="2" max="2" width="41.8515625" style="48" customWidth="1"/>
    <col min="3" max="3" width="0" style="48" hidden="1" customWidth="1"/>
    <col min="4" max="4" width="7.421875" style="48" customWidth="1"/>
    <col min="5" max="5" width="10.00390625" style="0" customWidth="1"/>
    <col min="6" max="6" width="9.7109375" style="0" customWidth="1"/>
    <col min="7" max="7" width="8.57421875" style="0" customWidth="1"/>
    <col min="8" max="8" width="10.28125" style="0" customWidth="1"/>
    <col min="9" max="9" width="11.7109375" style="0" customWidth="1"/>
    <col min="10" max="10" width="9.7109375" style="0" customWidth="1"/>
    <col min="11" max="11" width="10.28125" style="0" customWidth="1"/>
    <col min="12" max="12" width="8.57421875" style="0" customWidth="1"/>
    <col min="13" max="13" width="12.00390625" style="0" customWidth="1"/>
    <col min="14" max="14" width="10.57421875" style="0" customWidth="1"/>
    <col min="15" max="15" width="9.7109375" style="0" customWidth="1"/>
    <col min="16" max="19" width="8.57421875" style="0" customWidth="1"/>
    <col min="20" max="20" width="9.7109375" style="0" customWidth="1"/>
    <col min="21" max="24" width="8.57421875" style="0" customWidth="1"/>
    <col min="25" max="25" width="10.421875" style="0" customWidth="1"/>
    <col min="29" max="29" width="10.7109375" style="0" customWidth="1"/>
    <col min="30" max="30" width="9.7109375" style="0" customWidth="1"/>
    <col min="34" max="34" width="10.7109375" style="0" customWidth="1"/>
    <col min="35" max="35" width="9.00390625" style="0" customWidth="1"/>
    <col min="39" max="39" width="10.7109375" style="0" customWidth="1"/>
    <col min="40" max="40" width="9.140625" style="0" customWidth="1"/>
    <col min="41" max="41" width="7.8515625" style="0" customWidth="1"/>
    <col min="42" max="42" width="6.7109375" style="0" customWidth="1"/>
    <col min="43" max="43" width="6.421875" style="0" customWidth="1"/>
    <col min="44" max="44" width="6.7109375" style="0" customWidth="1"/>
  </cols>
  <sheetData>
    <row r="1" spans="1:39" ht="12.75" customHeight="1" hidden="1">
      <c r="A1" s="34" t="str">
        <f>Справочники!E13</f>
        <v>Мурманская область</v>
      </c>
      <c r="B1" s="241" t="str">
        <f>Справочники!D21</f>
        <v>МУП "Кировская горэлектросеть"</v>
      </c>
      <c r="C1" s="46"/>
      <c r="D1" s="46"/>
      <c r="E1" s="785" t="s">
        <v>84</v>
      </c>
      <c r="F1" s="785"/>
      <c r="G1" s="785"/>
      <c r="H1" s="785"/>
      <c r="I1" s="785"/>
      <c r="J1" s="785"/>
      <c r="K1" s="785"/>
      <c r="L1" s="785"/>
      <c r="M1" s="785"/>
      <c r="N1" s="785"/>
      <c r="O1" s="785"/>
      <c r="P1" s="785"/>
      <c r="Q1" s="785"/>
      <c r="R1" s="785"/>
      <c r="S1" s="785"/>
      <c r="AC1" s="2" t="s">
        <v>83</v>
      </c>
      <c r="AH1" s="2" t="s">
        <v>83</v>
      </c>
      <c r="AM1" s="2" t="s">
        <v>83</v>
      </c>
    </row>
    <row r="2" spans="2:39" ht="19.5" customHeight="1">
      <c r="B2" s="615"/>
      <c r="C2" s="615"/>
      <c r="D2" s="615"/>
      <c r="E2" s="785"/>
      <c r="F2" s="785"/>
      <c r="G2" s="785"/>
      <c r="H2" s="785"/>
      <c r="I2" s="785"/>
      <c r="J2" s="785"/>
      <c r="K2" s="785"/>
      <c r="L2" s="785"/>
      <c r="M2" s="785"/>
      <c r="N2" s="785"/>
      <c r="O2" s="785"/>
      <c r="P2" s="785"/>
      <c r="Q2" s="785"/>
      <c r="R2" s="785"/>
      <c r="S2" s="785"/>
      <c r="T2" s="615"/>
      <c r="V2" s="615"/>
      <c r="W2" s="615"/>
      <c r="X2" s="615"/>
      <c r="Y2" s="785" t="s">
        <v>84</v>
      </c>
      <c r="Z2" s="785"/>
      <c r="AA2" s="785"/>
      <c r="AB2" s="785"/>
      <c r="AC2" s="785"/>
      <c r="AD2" s="785"/>
      <c r="AE2" s="785"/>
      <c r="AF2" s="785"/>
      <c r="AG2" s="785"/>
      <c r="AH2" s="785"/>
      <c r="AI2" s="615"/>
      <c r="AJ2" s="583"/>
      <c r="AK2" s="583"/>
      <c r="AL2" s="583"/>
      <c r="AM2" s="583"/>
    </row>
    <row r="3" spans="21:39" ht="12" customHeight="1" thickBot="1">
      <c r="U3" s="617"/>
      <c r="V3" s="617"/>
      <c r="W3" s="617"/>
      <c r="X3" s="617"/>
      <c r="Y3" s="617"/>
      <c r="Z3" s="617"/>
      <c r="AA3" s="617"/>
      <c r="AB3" s="617"/>
      <c r="AC3" s="617"/>
      <c r="AD3" s="617"/>
      <c r="AE3" s="617"/>
      <c r="AF3" s="617"/>
      <c r="AG3" s="617"/>
      <c r="AH3" s="617"/>
      <c r="AI3" s="617"/>
      <c r="AM3" s="2" t="s">
        <v>85</v>
      </c>
    </row>
    <row r="4" spans="1:44" ht="18" customHeight="1">
      <c r="A4" s="774" t="s">
        <v>86</v>
      </c>
      <c r="B4" s="786" t="s">
        <v>25</v>
      </c>
      <c r="C4" s="786"/>
      <c r="D4" s="787"/>
      <c r="E4" s="777" t="s">
        <v>1303</v>
      </c>
      <c r="F4" s="773"/>
      <c r="G4" s="773"/>
      <c r="H4" s="773"/>
      <c r="I4" s="778"/>
      <c r="J4" s="777" t="s">
        <v>1304</v>
      </c>
      <c r="K4" s="773"/>
      <c r="L4" s="773"/>
      <c r="M4" s="773"/>
      <c r="N4" s="778"/>
      <c r="O4" s="777" t="s">
        <v>1286</v>
      </c>
      <c r="P4" s="773"/>
      <c r="Q4" s="773"/>
      <c r="R4" s="773"/>
      <c r="S4" s="778"/>
      <c r="T4" s="777" t="s">
        <v>1305</v>
      </c>
      <c r="U4" s="773"/>
      <c r="V4" s="773"/>
      <c r="W4" s="773"/>
      <c r="X4" s="778"/>
      <c r="Y4" s="779" t="s">
        <v>1309</v>
      </c>
      <c r="Z4" s="780"/>
      <c r="AA4" s="780"/>
      <c r="AB4" s="780"/>
      <c r="AC4" s="781"/>
      <c r="AD4" s="779" t="s">
        <v>1310</v>
      </c>
      <c r="AE4" s="780"/>
      <c r="AF4" s="780"/>
      <c r="AG4" s="780"/>
      <c r="AH4" s="781"/>
      <c r="AI4" s="779" t="s">
        <v>1311</v>
      </c>
      <c r="AJ4" s="780"/>
      <c r="AK4" s="780"/>
      <c r="AL4" s="780"/>
      <c r="AM4" s="791"/>
      <c r="AN4" s="788" t="s">
        <v>27</v>
      </c>
      <c r="AO4" s="789"/>
      <c r="AP4" s="789"/>
      <c r="AQ4" s="789"/>
      <c r="AR4" s="790"/>
    </row>
    <row r="5" spans="1:44" ht="11.25">
      <c r="A5" s="774"/>
      <c r="B5" s="786"/>
      <c r="C5" s="786"/>
      <c r="D5" s="787"/>
      <c r="E5" s="9" t="s">
        <v>87</v>
      </c>
      <c r="F5" s="4" t="s">
        <v>28</v>
      </c>
      <c r="G5" s="4" t="s">
        <v>29</v>
      </c>
      <c r="H5" s="4" t="s">
        <v>30</v>
      </c>
      <c r="I5" s="8" t="s">
        <v>31</v>
      </c>
      <c r="J5" s="9" t="s">
        <v>87</v>
      </c>
      <c r="K5" s="4" t="s">
        <v>28</v>
      </c>
      <c r="L5" s="4" t="s">
        <v>29</v>
      </c>
      <c r="M5" s="4" t="s">
        <v>30</v>
      </c>
      <c r="N5" s="8" t="s">
        <v>31</v>
      </c>
      <c r="O5" s="9" t="s">
        <v>87</v>
      </c>
      <c r="P5" s="4" t="s">
        <v>28</v>
      </c>
      <c r="Q5" s="4" t="s">
        <v>29</v>
      </c>
      <c r="R5" s="4" t="s">
        <v>30</v>
      </c>
      <c r="S5" s="8" t="s">
        <v>31</v>
      </c>
      <c r="T5" s="9" t="s">
        <v>87</v>
      </c>
      <c r="U5" s="4" t="s">
        <v>28</v>
      </c>
      <c r="V5" s="4" t="s">
        <v>29</v>
      </c>
      <c r="W5" s="4" t="s">
        <v>30</v>
      </c>
      <c r="X5" s="8" t="s">
        <v>31</v>
      </c>
      <c r="Y5" s="9" t="s">
        <v>87</v>
      </c>
      <c r="Z5" s="4" t="s">
        <v>28</v>
      </c>
      <c r="AA5" s="4" t="s">
        <v>29</v>
      </c>
      <c r="AB5" s="4" t="s">
        <v>30</v>
      </c>
      <c r="AC5" s="8" t="s">
        <v>31</v>
      </c>
      <c r="AD5" s="9" t="s">
        <v>87</v>
      </c>
      <c r="AE5" s="4" t="s">
        <v>28</v>
      </c>
      <c r="AF5" s="4" t="s">
        <v>29</v>
      </c>
      <c r="AG5" s="4" t="s">
        <v>30</v>
      </c>
      <c r="AH5" s="8" t="s">
        <v>31</v>
      </c>
      <c r="AI5" s="9" t="s">
        <v>87</v>
      </c>
      <c r="AJ5" s="4" t="s">
        <v>28</v>
      </c>
      <c r="AK5" s="4" t="s">
        <v>29</v>
      </c>
      <c r="AL5" s="4" t="s">
        <v>30</v>
      </c>
      <c r="AM5" s="38" t="s">
        <v>31</v>
      </c>
      <c r="AN5" s="9" t="s">
        <v>87</v>
      </c>
      <c r="AO5" s="4" t="s">
        <v>28</v>
      </c>
      <c r="AP5" s="4" t="s">
        <v>29</v>
      </c>
      <c r="AQ5" s="4" t="s">
        <v>30</v>
      </c>
      <c r="AR5" s="8" t="s">
        <v>31</v>
      </c>
    </row>
    <row r="6" spans="1:44" ht="11.25" hidden="1">
      <c r="A6" s="4"/>
      <c r="B6" s="162"/>
      <c r="C6" s="162"/>
      <c r="D6" s="336"/>
      <c r="E6" s="9">
        <v>2006</v>
      </c>
      <c r="F6" s="4">
        <v>2006</v>
      </c>
      <c r="G6" s="4">
        <v>2006</v>
      </c>
      <c r="H6" s="4">
        <v>2006</v>
      </c>
      <c r="I6" s="8">
        <v>2006</v>
      </c>
      <c r="J6" s="9">
        <v>2006</v>
      </c>
      <c r="K6" s="4">
        <v>2006</v>
      </c>
      <c r="L6" s="4">
        <v>2006</v>
      </c>
      <c r="M6" s="4">
        <v>2006</v>
      </c>
      <c r="N6" s="8">
        <v>2006</v>
      </c>
      <c r="O6" s="9">
        <v>2007</v>
      </c>
      <c r="P6" s="4">
        <v>2007</v>
      </c>
      <c r="Q6" s="4">
        <v>2007</v>
      </c>
      <c r="R6" s="4">
        <v>2007</v>
      </c>
      <c r="S6" s="8">
        <v>2007</v>
      </c>
      <c r="T6" s="9">
        <v>2007</v>
      </c>
      <c r="U6" s="4">
        <v>2007</v>
      </c>
      <c r="V6" s="4">
        <v>2007</v>
      </c>
      <c r="W6" s="4">
        <v>2007</v>
      </c>
      <c r="X6" s="8">
        <v>2007</v>
      </c>
      <c r="Y6" s="9">
        <v>2008</v>
      </c>
      <c r="Z6" s="4">
        <v>2008</v>
      </c>
      <c r="AA6" s="4">
        <v>2008</v>
      </c>
      <c r="AB6" s="4">
        <v>2008</v>
      </c>
      <c r="AC6" s="8">
        <v>2008</v>
      </c>
      <c r="AD6" s="9">
        <v>2008</v>
      </c>
      <c r="AE6" s="4">
        <v>2008</v>
      </c>
      <c r="AF6" s="4">
        <v>2008</v>
      </c>
      <c r="AG6" s="4">
        <v>2008</v>
      </c>
      <c r="AH6" s="8">
        <v>2008</v>
      </c>
      <c r="AI6" s="9">
        <v>2008</v>
      </c>
      <c r="AJ6" s="4">
        <v>2008</v>
      </c>
      <c r="AK6" s="4">
        <v>2008</v>
      </c>
      <c r="AL6" s="4">
        <v>2008</v>
      </c>
      <c r="AM6" s="38">
        <v>2008</v>
      </c>
      <c r="AN6" s="337" t="s">
        <v>137</v>
      </c>
      <c r="AO6" s="255" t="s">
        <v>137</v>
      </c>
      <c r="AP6" s="255" t="s">
        <v>137</v>
      </c>
      <c r="AQ6" s="255" t="s">
        <v>137</v>
      </c>
      <c r="AR6" s="258" t="s">
        <v>137</v>
      </c>
    </row>
    <row r="7" spans="1:44" ht="11.25" hidden="1">
      <c r="A7" s="4"/>
      <c r="B7" s="162"/>
      <c r="C7" s="162"/>
      <c r="D7" s="336"/>
      <c r="E7" s="9" t="str">
        <f aca="true" t="shared" si="0" ref="E7:AC7">E5</f>
        <v>Всего</v>
      </c>
      <c r="F7" s="4" t="str">
        <f t="shared" si="0"/>
        <v>ВН</v>
      </c>
      <c r="G7" s="4" t="str">
        <f t="shared" si="0"/>
        <v>СН1</v>
      </c>
      <c r="H7" s="4" t="str">
        <f t="shared" si="0"/>
        <v>СН2</v>
      </c>
      <c r="I7" s="8" t="str">
        <f t="shared" si="0"/>
        <v>НН</v>
      </c>
      <c r="J7" s="9" t="str">
        <f t="shared" si="0"/>
        <v>Всего</v>
      </c>
      <c r="K7" s="4" t="str">
        <f t="shared" si="0"/>
        <v>ВН</v>
      </c>
      <c r="L7" s="4" t="str">
        <f t="shared" si="0"/>
        <v>СН1</v>
      </c>
      <c r="M7" s="4" t="str">
        <f t="shared" si="0"/>
        <v>СН2</v>
      </c>
      <c r="N7" s="8" t="str">
        <f t="shared" si="0"/>
        <v>НН</v>
      </c>
      <c r="O7" s="9" t="str">
        <f t="shared" si="0"/>
        <v>Всего</v>
      </c>
      <c r="P7" s="4" t="str">
        <f t="shared" si="0"/>
        <v>ВН</v>
      </c>
      <c r="Q7" s="4" t="str">
        <f t="shared" si="0"/>
        <v>СН1</v>
      </c>
      <c r="R7" s="4" t="str">
        <f t="shared" si="0"/>
        <v>СН2</v>
      </c>
      <c r="S7" s="8" t="str">
        <f t="shared" si="0"/>
        <v>НН</v>
      </c>
      <c r="T7" s="9" t="str">
        <f t="shared" si="0"/>
        <v>Всего</v>
      </c>
      <c r="U7" s="4" t="str">
        <f t="shared" si="0"/>
        <v>ВН</v>
      </c>
      <c r="V7" s="4" t="str">
        <f t="shared" si="0"/>
        <v>СН1</v>
      </c>
      <c r="W7" s="4" t="str">
        <f t="shared" si="0"/>
        <v>СН2</v>
      </c>
      <c r="X7" s="8" t="str">
        <f t="shared" si="0"/>
        <v>НН</v>
      </c>
      <c r="Y7" s="9" t="str">
        <f t="shared" si="0"/>
        <v>Всего</v>
      </c>
      <c r="Z7" s="4" t="str">
        <f t="shared" si="0"/>
        <v>ВН</v>
      </c>
      <c r="AA7" s="4" t="str">
        <f t="shared" si="0"/>
        <v>СН1</v>
      </c>
      <c r="AB7" s="4" t="str">
        <f t="shared" si="0"/>
        <v>СН2</v>
      </c>
      <c r="AC7" s="8" t="str">
        <f t="shared" si="0"/>
        <v>НН</v>
      </c>
      <c r="AD7" s="9" t="str">
        <f aca="true" t="shared" si="1" ref="AD7:AR7">AD5</f>
        <v>Всего</v>
      </c>
      <c r="AE7" s="4" t="str">
        <f t="shared" si="1"/>
        <v>ВН</v>
      </c>
      <c r="AF7" s="4" t="str">
        <f t="shared" si="1"/>
        <v>СН1</v>
      </c>
      <c r="AG7" s="4" t="str">
        <f t="shared" si="1"/>
        <v>СН2</v>
      </c>
      <c r="AH7" s="8" t="str">
        <f t="shared" si="1"/>
        <v>НН</v>
      </c>
      <c r="AI7" s="9" t="str">
        <f t="shared" si="1"/>
        <v>Всего</v>
      </c>
      <c r="AJ7" s="4" t="str">
        <f t="shared" si="1"/>
        <v>ВН</v>
      </c>
      <c r="AK7" s="4" t="str">
        <f t="shared" si="1"/>
        <v>СН1</v>
      </c>
      <c r="AL7" s="4" t="str">
        <f t="shared" si="1"/>
        <v>СН2</v>
      </c>
      <c r="AM7" s="38" t="str">
        <f t="shared" si="1"/>
        <v>НН</v>
      </c>
      <c r="AN7" s="9" t="str">
        <f t="shared" si="1"/>
        <v>Всего</v>
      </c>
      <c r="AO7" s="4" t="str">
        <f t="shared" si="1"/>
        <v>ВН</v>
      </c>
      <c r="AP7" s="4" t="str">
        <f t="shared" si="1"/>
        <v>СН1</v>
      </c>
      <c r="AQ7" s="4" t="str">
        <f t="shared" si="1"/>
        <v>СН2</v>
      </c>
      <c r="AR7" s="8" t="str">
        <f t="shared" si="1"/>
        <v>НН</v>
      </c>
    </row>
    <row r="8" spans="1:44" ht="11.25" hidden="1">
      <c r="A8" s="4"/>
      <c r="B8" s="162"/>
      <c r="C8" s="162"/>
      <c r="D8" s="336"/>
      <c r="E8" s="335" t="s">
        <v>82</v>
      </c>
      <c r="F8" s="254" t="s">
        <v>82</v>
      </c>
      <c r="G8" s="254" t="s">
        <v>82</v>
      </c>
      <c r="H8" s="254" t="s">
        <v>82</v>
      </c>
      <c r="I8" s="298" t="s">
        <v>82</v>
      </c>
      <c r="J8" s="335" t="s">
        <v>81</v>
      </c>
      <c r="K8" s="254" t="s">
        <v>81</v>
      </c>
      <c r="L8" s="254" t="s">
        <v>81</v>
      </c>
      <c r="M8" s="254" t="s">
        <v>81</v>
      </c>
      <c r="N8" s="298" t="s">
        <v>81</v>
      </c>
      <c r="O8" s="335" t="s">
        <v>82</v>
      </c>
      <c r="P8" s="254" t="s">
        <v>82</v>
      </c>
      <c r="Q8" s="254" t="s">
        <v>82</v>
      </c>
      <c r="R8" s="254" t="s">
        <v>82</v>
      </c>
      <c r="S8" s="298" t="s">
        <v>82</v>
      </c>
      <c r="T8" s="335" t="s">
        <v>138</v>
      </c>
      <c r="U8" s="254" t="s">
        <v>138</v>
      </c>
      <c r="V8" s="254" t="s">
        <v>138</v>
      </c>
      <c r="W8" s="254" t="s">
        <v>138</v>
      </c>
      <c r="X8" s="298" t="s">
        <v>138</v>
      </c>
      <c r="Y8" s="335" t="s">
        <v>82</v>
      </c>
      <c r="Z8" s="254" t="s">
        <v>82</v>
      </c>
      <c r="AA8" s="254" t="s">
        <v>82</v>
      </c>
      <c r="AB8" s="254" t="s">
        <v>82</v>
      </c>
      <c r="AC8" s="298" t="s">
        <v>82</v>
      </c>
      <c r="AD8" s="335" t="s">
        <v>82</v>
      </c>
      <c r="AE8" s="254" t="s">
        <v>82</v>
      </c>
      <c r="AF8" s="254" t="s">
        <v>82</v>
      </c>
      <c r="AG8" s="254" t="s">
        <v>82</v>
      </c>
      <c r="AH8" s="298" t="s">
        <v>82</v>
      </c>
      <c r="AI8" s="335" t="s">
        <v>82</v>
      </c>
      <c r="AJ8" s="254" t="s">
        <v>82</v>
      </c>
      <c r="AK8" s="254" t="s">
        <v>82</v>
      </c>
      <c r="AL8" s="254" t="s">
        <v>82</v>
      </c>
      <c r="AM8" s="591" t="s">
        <v>82</v>
      </c>
      <c r="AN8" s="337" t="s">
        <v>137</v>
      </c>
      <c r="AO8" s="255" t="s">
        <v>137</v>
      </c>
      <c r="AP8" s="255" t="s">
        <v>137</v>
      </c>
      <c r="AQ8" s="255" t="s">
        <v>137</v>
      </c>
      <c r="AR8" s="258" t="s">
        <v>137</v>
      </c>
    </row>
    <row r="9" spans="1:44" ht="11.25" hidden="1">
      <c r="A9" s="4"/>
      <c r="B9" s="162"/>
      <c r="C9" s="162"/>
      <c r="D9" s="336"/>
      <c r="E9" s="335" t="s">
        <v>139</v>
      </c>
      <c r="F9" s="254" t="s">
        <v>139</v>
      </c>
      <c r="G9" s="254" t="s">
        <v>139</v>
      </c>
      <c r="H9" s="254" t="s">
        <v>139</v>
      </c>
      <c r="I9" s="298" t="s">
        <v>139</v>
      </c>
      <c r="J9" s="335" t="s">
        <v>139</v>
      </c>
      <c r="K9" s="254" t="s">
        <v>139</v>
      </c>
      <c r="L9" s="254" t="s">
        <v>139</v>
      </c>
      <c r="M9" s="254" t="s">
        <v>139</v>
      </c>
      <c r="N9" s="298" t="s">
        <v>139</v>
      </c>
      <c r="O9" s="335" t="s">
        <v>139</v>
      </c>
      <c r="P9" s="254" t="s">
        <v>139</v>
      </c>
      <c r="Q9" s="254" t="s">
        <v>139</v>
      </c>
      <c r="R9" s="254" t="s">
        <v>139</v>
      </c>
      <c r="S9" s="298" t="s">
        <v>139</v>
      </c>
      <c r="T9" s="335" t="s">
        <v>139</v>
      </c>
      <c r="U9" s="254" t="s">
        <v>139</v>
      </c>
      <c r="V9" s="254" t="s">
        <v>139</v>
      </c>
      <c r="W9" s="254" t="s">
        <v>139</v>
      </c>
      <c r="X9" s="298" t="s">
        <v>139</v>
      </c>
      <c r="Y9" s="335" t="s">
        <v>139</v>
      </c>
      <c r="Z9" s="254" t="s">
        <v>139</v>
      </c>
      <c r="AA9" s="254" t="s">
        <v>139</v>
      </c>
      <c r="AB9" s="254" t="s">
        <v>139</v>
      </c>
      <c r="AC9" s="298" t="s">
        <v>139</v>
      </c>
      <c r="AD9" s="335" t="s">
        <v>139</v>
      </c>
      <c r="AE9" s="254" t="s">
        <v>139</v>
      </c>
      <c r="AF9" s="254" t="s">
        <v>139</v>
      </c>
      <c r="AG9" s="254" t="s">
        <v>139</v>
      </c>
      <c r="AH9" s="298" t="s">
        <v>139</v>
      </c>
      <c r="AI9" s="335" t="s">
        <v>139</v>
      </c>
      <c r="AJ9" s="254" t="s">
        <v>139</v>
      </c>
      <c r="AK9" s="254" t="s">
        <v>139</v>
      </c>
      <c r="AL9" s="254" t="s">
        <v>139</v>
      </c>
      <c r="AM9" s="591" t="s">
        <v>139</v>
      </c>
      <c r="AN9" s="335" t="s">
        <v>139</v>
      </c>
      <c r="AO9" s="254" t="s">
        <v>139</v>
      </c>
      <c r="AP9" s="254" t="s">
        <v>139</v>
      </c>
      <c r="AQ9" s="254" t="s">
        <v>139</v>
      </c>
      <c r="AR9" s="298" t="s">
        <v>139</v>
      </c>
    </row>
    <row r="10" spans="1:44" ht="11.25">
      <c r="A10" s="4">
        <v>1</v>
      </c>
      <c r="B10" s="162">
        <v>2</v>
      </c>
      <c r="C10" s="162"/>
      <c r="D10" s="240"/>
      <c r="E10" s="9">
        <v>3</v>
      </c>
      <c r="F10" s="4">
        <f>E10+1</f>
        <v>4</v>
      </c>
      <c r="G10" s="4">
        <f aca="true" t="shared" si="2" ref="G10:AC10">F10+1</f>
        <v>5</v>
      </c>
      <c r="H10" s="4">
        <f t="shared" si="2"/>
        <v>6</v>
      </c>
      <c r="I10" s="8">
        <f t="shared" si="2"/>
        <v>7</v>
      </c>
      <c r="J10" s="9">
        <f t="shared" si="2"/>
        <v>8</v>
      </c>
      <c r="K10" s="4">
        <f t="shared" si="2"/>
        <v>9</v>
      </c>
      <c r="L10" s="4">
        <f t="shared" si="2"/>
        <v>10</v>
      </c>
      <c r="M10" s="4">
        <f t="shared" si="2"/>
        <v>11</v>
      </c>
      <c r="N10" s="8">
        <f t="shared" si="2"/>
        <v>12</v>
      </c>
      <c r="O10" s="9">
        <f t="shared" si="2"/>
        <v>13</v>
      </c>
      <c r="P10" s="4">
        <f t="shared" si="2"/>
        <v>14</v>
      </c>
      <c r="Q10" s="4">
        <f t="shared" si="2"/>
        <v>15</v>
      </c>
      <c r="R10" s="4">
        <f t="shared" si="2"/>
        <v>16</v>
      </c>
      <c r="S10" s="8">
        <f t="shared" si="2"/>
        <v>17</v>
      </c>
      <c r="T10" s="9">
        <f t="shared" si="2"/>
        <v>18</v>
      </c>
      <c r="U10" s="4">
        <f t="shared" si="2"/>
        <v>19</v>
      </c>
      <c r="V10" s="4">
        <f t="shared" si="2"/>
        <v>20</v>
      </c>
      <c r="W10" s="4">
        <f t="shared" si="2"/>
        <v>21</v>
      </c>
      <c r="X10" s="8">
        <f t="shared" si="2"/>
        <v>22</v>
      </c>
      <c r="Y10" s="9">
        <f t="shared" si="2"/>
        <v>23</v>
      </c>
      <c r="Z10" s="4">
        <f t="shared" si="2"/>
        <v>24</v>
      </c>
      <c r="AA10" s="4">
        <f t="shared" si="2"/>
        <v>25</v>
      </c>
      <c r="AB10" s="4">
        <f t="shared" si="2"/>
        <v>26</v>
      </c>
      <c r="AC10" s="8">
        <f t="shared" si="2"/>
        <v>27</v>
      </c>
      <c r="AD10" s="9">
        <f aca="true" t="shared" si="3" ref="AD10:AM10">AC10+1</f>
        <v>28</v>
      </c>
      <c r="AE10" s="4">
        <f t="shared" si="3"/>
        <v>29</v>
      </c>
      <c r="AF10" s="4">
        <f t="shared" si="3"/>
        <v>30</v>
      </c>
      <c r="AG10" s="4">
        <f t="shared" si="3"/>
        <v>31</v>
      </c>
      <c r="AH10" s="8">
        <f t="shared" si="3"/>
        <v>32</v>
      </c>
      <c r="AI10" s="9">
        <f t="shared" si="3"/>
        <v>33</v>
      </c>
      <c r="AJ10" s="4">
        <f t="shared" si="3"/>
        <v>34</v>
      </c>
      <c r="AK10" s="4">
        <f t="shared" si="3"/>
        <v>35</v>
      </c>
      <c r="AL10" s="4">
        <f t="shared" si="3"/>
        <v>36</v>
      </c>
      <c r="AM10" s="38">
        <f t="shared" si="3"/>
        <v>37</v>
      </c>
      <c r="AN10" s="9"/>
      <c r="AO10" s="4"/>
      <c r="AP10" s="4"/>
      <c r="AQ10" s="4"/>
      <c r="AR10" s="8"/>
    </row>
    <row r="11" spans="1:44" ht="11.25">
      <c r="A11" s="57" t="s">
        <v>36</v>
      </c>
      <c r="B11" s="39" t="s">
        <v>88</v>
      </c>
      <c r="C11" s="39" t="s">
        <v>38</v>
      </c>
      <c r="D11" s="41" t="s">
        <v>89</v>
      </c>
      <c r="E11" s="519">
        <f aca="true" t="shared" si="4" ref="E11:AC11">E12+E18+E19+E20</f>
        <v>81.9</v>
      </c>
      <c r="F11" s="520">
        <f t="shared" si="4"/>
        <v>62.37</v>
      </c>
      <c r="G11" s="520">
        <f t="shared" si="4"/>
        <v>9.75</v>
      </c>
      <c r="H11" s="520">
        <f t="shared" si="4"/>
        <v>81.7707</v>
      </c>
      <c r="I11" s="521">
        <f t="shared" si="4"/>
        <v>56.8872</v>
      </c>
      <c r="J11" s="519">
        <f t="shared" si="4"/>
        <v>83.15036099999999</v>
      </c>
      <c r="K11" s="520">
        <f t="shared" si="4"/>
        <v>59.982462</v>
      </c>
      <c r="L11" s="520">
        <f t="shared" si="4"/>
        <v>9.508152</v>
      </c>
      <c r="M11" s="520">
        <f t="shared" si="4"/>
        <v>83.025987</v>
      </c>
      <c r="N11" s="521">
        <f t="shared" si="4"/>
        <v>57.351362</v>
      </c>
      <c r="O11" s="519">
        <f t="shared" si="4"/>
        <v>84.2</v>
      </c>
      <c r="P11" s="520">
        <f t="shared" si="4"/>
        <v>62.84</v>
      </c>
      <c r="Q11" s="520">
        <f t="shared" si="4"/>
        <v>10.326</v>
      </c>
      <c r="R11" s="520">
        <f t="shared" si="4"/>
        <v>84.07400000000001</v>
      </c>
      <c r="S11" s="521">
        <f t="shared" si="4"/>
        <v>58.643</v>
      </c>
      <c r="T11" s="519">
        <f t="shared" si="4"/>
        <v>84.2</v>
      </c>
      <c r="U11" s="520">
        <f t="shared" si="4"/>
        <v>62.84</v>
      </c>
      <c r="V11" s="520">
        <f t="shared" si="4"/>
        <v>10.326</v>
      </c>
      <c r="W11" s="520">
        <f t="shared" si="4"/>
        <v>84.07400000000001</v>
      </c>
      <c r="X11" s="521">
        <f t="shared" si="4"/>
        <v>58.643</v>
      </c>
      <c r="Y11" s="519">
        <f t="shared" si="4"/>
        <v>44.93000000000001</v>
      </c>
      <c r="Z11" s="520">
        <f t="shared" si="4"/>
        <v>40.21</v>
      </c>
      <c r="AA11" s="520">
        <f t="shared" si="4"/>
        <v>3.45</v>
      </c>
      <c r="AB11" s="520">
        <f t="shared" si="4"/>
        <v>44.7813</v>
      </c>
      <c r="AC11" s="521">
        <f t="shared" si="4"/>
        <v>28.047559</v>
      </c>
      <c r="AD11" s="519">
        <f aca="true" t="shared" si="5" ref="AD11:AM11">AD12+AD18+AD19+AD20</f>
        <v>43.81999999999999</v>
      </c>
      <c r="AE11" s="520">
        <f t="shared" si="5"/>
        <v>39.23</v>
      </c>
      <c r="AF11" s="520">
        <f t="shared" si="5"/>
        <v>3.47</v>
      </c>
      <c r="AG11" s="520">
        <f t="shared" si="5"/>
        <v>43.67129499999999</v>
      </c>
      <c r="AH11" s="521">
        <f t="shared" si="5"/>
        <v>29.375555</v>
      </c>
      <c r="AI11" s="519">
        <f t="shared" si="5"/>
        <v>88.75</v>
      </c>
      <c r="AJ11" s="520">
        <f t="shared" si="5"/>
        <v>79.44</v>
      </c>
      <c r="AK11" s="520">
        <f t="shared" si="5"/>
        <v>6.92</v>
      </c>
      <c r="AL11" s="520">
        <f t="shared" si="5"/>
        <v>88.452595</v>
      </c>
      <c r="AM11" s="586">
        <f t="shared" si="5"/>
        <v>57.423114</v>
      </c>
      <c r="AN11" s="67">
        <f>IF(ISERROR(AI11/O11),0,AI11/O11)</f>
        <v>1.0540380047505937</v>
      </c>
      <c r="AO11" s="64">
        <f>IF(ISERROR(AJ11/P11),0,AJ11/P11)</f>
        <v>1.2641629535327816</v>
      </c>
      <c r="AP11" s="64">
        <f>IF(ISERROR(AK11/Q11),0,AK11/Q11)</f>
        <v>0.6701530118148363</v>
      </c>
      <c r="AQ11" s="64">
        <f>IF(ISERROR(AL11/R11),0,AL11/R11)</f>
        <v>1.0520802507314984</v>
      </c>
      <c r="AR11" s="68">
        <f>IF(ISERROR(AM11/S11),0,AM11/S11)</f>
        <v>0.9791980969595688</v>
      </c>
    </row>
    <row r="12" spans="1:44" ht="11.25">
      <c r="A12" s="57" t="s">
        <v>90</v>
      </c>
      <c r="B12" s="39" t="s">
        <v>91</v>
      </c>
      <c r="C12" s="39" t="s">
        <v>41</v>
      </c>
      <c r="D12" s="41" t="s">
        <v>89</v>
      </c>
      <c r="E12" s="522"/>
      <c r="F12" s="520">
        <f>F14+F15+F16+F17</f>
        <v>0</v>
      </c>
      <c r="G12" s="520">
        <f>G14+G15+G16+G17</f>
        <v>0</v>
      </c>
      <c r="H12" s="520">
        <f>H14+H15+H16+H17</f>
        <v>71.9907</v>
      </c>
      <c r="I12" s="521">
        <f>I14+I15+I16+I17</f>
        <v>56.8872</v>
      </c>
      <c r="J12" s="522"/>
      <c r="K12" s="520">
        <f>K14+K15+K16+K17</f>
        <v>0</v>
      </c>
      <c r="L12" s="520">
        <f>L14+L15+L16+L17</f>
        <v>0</v>
      </c>
      <c r="M12" s="520">
        <f>M14+M15+M16+M17</f>
        <v>69.36624</v>
      </c>
      <c r="N12" s="521">
        <f>N14+N15+N16+N17</f>
        <v>57.351362</v>
      </c>
      <c r="O12" s="522"/>
      <c r="P12" s="520">
        <f>P14+P15+P16+P17</f>
        <v>0</v>
      </c>
      <c r="Q12" s="520">
        <f>Q14+Q15+Q16+Q17</f>
        <v>0</v>
      </c>
      <c r="R12" s="520">
        <f>R14+R15+R16+R17</f>
        <v>73.04</v>
      </c>
      <c r="S12" s="521">
        <f>S14+S15+S16+S17</f>
        <v>58.643</v>
      </c>
      <c r="T12" s="522"/>
      <c r="U12" s="520">
        <f>U14+U15+U16+U17</f>
        <v>0</v>
      </c>
      <c r="V12" s="520">
        <f>V14+V15+V16+V17</f>
        <v>0</v>
      </c>
      <c r="W12" s="520">
        <f>W14+W15+W16+W17</f>
        <v>73.04</v>
      </c>
      <c r="X12" s="521">
        <f>X14+X15+X16+X17</f>
        <v>58.643</v>
      </c>
      <c r="Y12" s="522"/>
      <c r="Z12" s="520">
        <f>Z14+Z15+Z16+Z17</f>
        <v>0</v>
      </c>
      <c r="AA12" s="520">
        <f>AA14+AA15+AA16+AA17</f>
        <v>0</v>
      </c>
      <c r="AB12" s="520">
        <f>AB14+AB15+AB16+AB17</f>
        <v>43.5113</v>
      </c>
      <c r="AC12" s="521">
        <f>AC14+AC15+AC16+AC17</f>
        <v>28.047559</v>
      </c>
      <c r="AD12" s="522"/>
      <c r="AE12" s="520">
        <f>AE14+AE15+AE16+AE17</f>
        <v>0</v>
      </c>
      <c r="AF12" s="520">
        <f>AF14+AF15+AF16+AF17</f>
        <v>0</v>
      </c>
      <c r="AG12" s="520">
        <f>AG14+AG15+AG16+AG17</f>
        <v>42.551294999999996</v>
      </c>
      <c r="AH12" s="521">
        <f>AH14+AH15+AH16+AH17</f>
        <v>29.375555</v>
      </c>
      <c r="AI12" s="522"/>
      <c r="AJ12" s="520">
        <f>AJ14+AJ15+AJ16+AJ17</f>
        <v>0</v>
      </c>
      <c r="AK12" s="520">
        <f>AK14+AK15+AK16+AK17</f>
        <v>0</v>
      </c>
      <c r="AL12" s="520">
        <f>AL14+AL15+AL16+AL17</f>
        <v>86.062595</v>
      </c>
      <c r="AM12" s="586">
        <f>AM14+AM15+AM16+AM17</f>
        <v>57.423114</v>
      </c>
      <c r="AN12" s="67">
        <f aca="true" t="shared" si="6" ref="AN12:AN31">IF(ISERROR(AI12/O12),0,AI12/O12)</f>
        <v>0</v>
      </c>
      <c r="AO12" s="64">
        <f aca="true" t="shared" si="7" ref="AO12:AO31">IF(ISERROR(AJ12/P12),0,AJ12/P12)</f>
        <v>0</v>
      </c>
      <c r="AP12" s="64">
        <f aca="true" t="shared" si="8" ref="AP12:AP31">IF(ISERROR(AK12/Q12),0,AK12/Q12)</f>
        <v>0</v>
      </c>
      <c r="AQ12" s="64">
        <f aca="true" t="shared" si="9" ref="AQ12:AQ31">IF(ISERROR(AL12/R12),0,AL12/R12)</f>
        <v>1.1782940169769989</v>
      </c>
      <c r="AR12" s="68">
        <f aca="true" t="shared" si="10" ref="AR12:AR31">IF(ISERROR(AM12/S12),0,AM12/S12)</f>
        <v>0.9791980969595688</v>
      </c>
    </row>
    <row r="13" spans="1:44" ht="11.25">
      <c r="A13" s="57"/>
      <c r="B13" s="39" t="s">
        <v>92</v>
      </c>
      <c r="C13" s="39"/>
      <c r="D13" s="41"/>
      <c r="E13" s="523"/>
      <c r="F13" s="524"/>
      <c r="G13" s="524"/>
      <c r="H13" s="524"/>
      <c r="I13" s="525"/>
      <c r="J13" s="523"/>
      <c r="K13" s="524"/>
      <c r="L13" s="524"/>
      <c r="M13" s="524"/>
      <c r="N13" s="525"/>
      <c r="O13" s="523"/>
      <c r="P13" s="524"/>
      <c r="Q13" s="524"/>
      <c r="R13" s="524"/>
      <c r="S13" s="525"/>
      <c r="T13" s="523"/>
      <c r="U13" s="524"/>
      <c r="V13" s="524"/>
      <c r="W13" s="524"/>
      <c r="X13" s="525"/>
      <c r="Y13" s="523"/>
      <c r="Z13" s="524"/>
      <c r="AA13" s="524"/>
      <c r="AB13" s="524"/>
      <c r="AC13" s="525"/>
      <c r="AD13" s="523"/>
      <c r="AE13" s="524"/>
      <c r="AF13" s="524"/>
      <c r="AG13" s="524"/>
      <c r="AH13" s="525"/>
      <c r="AI13" s="523"/>
      <c r="AJ13" s="524"/>
      <c r="AK13" s="524"/>
      <c r="AL13" s="524"/>
      <c r="AM13" s="587"/>
      <c r="AN13" s="67">
        <f t="shared" si="6"/>
        <v>0</v>
      </c>
      <c r="AO13" s="64">
        <f t="shared" si="7"/>
        <v>0</v>
      </c>
      <c r="AP13" s="64">
        <f t="shared" si="8"/>
        <v>0</v>
      </c>
      <c r="AQ13" s="64">
        <f t="shared" si="9"/>
        <v>0</v>
      </c>
      <c r="AR13" s="68">
        <f t="shared" si="10"/>
        <v>0</v>
      </c>
    </row>
    <row r="14" spans="1:44" ht="11.25">
      <c r="A14" s="57"/>
      <c r="B14" s="39" t="s">
        <v>93</v>
      </c>
      <c r="C14" s="39" t="s">
        <v>140</v>
      </c>
      <c r="D14" s="41" t="s">
        <v>89</v>
      </c>
      <c r="E14" s="523"/>
      <c r="F14" s="551"/>
      <c r="G14" s="551"/>
      <c r="H14" s="551"/>
      <c r="I14" s="552"/>
      <c r="J14" s="523"/>
      <c r="K14" s="700"/>
      <c r="L14" s="700"/>
      <c r="M14" s="700"/>
      <c r="N14" s="701"/>
      <c r="O14" s="523"/>
      <c r="P14" s="551"/>
      <c r="Q14" s="551"/>
      <c r="R14" s="551"/>
      <c r="S14" s="552"/>
      <c r="T14" s="523"/>
      <c r="U14" s="551"/>
      <c r="V14" s="551"/>
      <c r="W14" s="551"/>
      <c r="X14" s="552"/>
      <c r="Y14" s="523"/>
      <c r="Z14" s="526"/>
      <c r="AA14" s="526"/>
      <c r="AB14" s="526"/>
      <c r="AC14" s="527"/>
      <c r="AD14" s="523"/>
      <c r="AE14" s="526"/>
      <c r="AF14" s="526"/>
      <c r="AG14" s="526"/>
      <c r="AH14" s="527"/>
      <c r="AI14" s="523"/>
      <c r="AJ14" s="613">
        <f>Z14+AE14</f>
        <v>0</v>
      </c>
      <c r="AK14" s="613">
        <f>AA14+AF14</f>
        <v>0</v>
      </c>
      <c r="AL14" s="613">
        <f>AB14+AG14</f>
        <v>0</v>
      </c>
      <c r="AM14" s="614">
        <f>AC14+AH14</f>
        <v>0</v>
      </c>
      <c r="AN14" s="67">
        <f t="shared" si="6"/>
        <v>0</v>
      </c>
      <c r="AO14" s="64">
        <f t="shared" si="7"/>
        <v>0</v>
      </c>
      <c r="AP14" s="64">
        <f t="shared" si="8"/>
        <v>0</v>
      </c>
      <c r="AQ14" s="64">
        <f t="shared" si="9"/>
        <v>0</v>
      </c>
      <c r="AR14" s="68">
        <f t="shared" si="10"/>
        <v>0</v>
      </c>
    </row>
    <row r="15" spans="1:44" ht="11.25">
      <c r="A15" s="57"/>
      <c r="B15" s="39" t="s">
        <v>28</v>
      </c>
      <c r="C15" s="39" t="s">
        <v>141</v>
      </c>
      <c r="D15" s="41" t="s">
        <v>89</v>
      </c>
      <c r="E15" s="523"/>
      <c r="F15" s="553"/>
      <c r="G15" s="553"/>
      <c r="H15" s="553">
        <v>62.37</v>
      </c>
      <c r="I15" s="554"/>
      <c r="J15" s="523"/>
      <c r="K15" s="702"/>
      <c r="L15" s="702"/>
      <c r="M15" s="702">
        <v>59.982462</v>
      </c>
      <c r="N15" s="703"/>
      <c r="O15" s="523"/>
      <c r="P15" s="553"/>
      <c r="Q15" s="553"/>
      <c r="R15" s="553">
        <v>62.84</v>
      </c>
      <c r="S15" s="554"/>
      <c r="T15" s="523"/>
      <c r="U15" s="553"/>
      <c r="V15" s="553"/>
      <c r="W15" s="553">
        <v>62.84</v>
      </c>
      <c r="X15" s="554"/>
      <c r="Y15" s="523"/>
      <c r="Z15" s="528"/>
      <c r="AA15" s="528"/>
      <c r="AB15" s="528">
        <v>40.21</v>
      </c>
      <c r="AC15" s="529"/>
      <c r="AD15" s="523"/>
      <c r="AE15" s="528"/>
      <c r="AF15" s="528"/>
      <c r="AG15" s="528">
        <v>39.23</v>
      </c>
      <c r="AH15" s="529"/>
      <c r="AI15" s="523"/>
      <c r="AJ15" s="613">
        <f aca="true" t="shared" si="11" ref="AJ15:AJ20">Z15+AE15</f>
        <v>0</v>
      </c>
      <c r="AK15" s="613">
        <f aca="true" t="shared" si="12" ref="AK15:AK20">AA15+AF15</f>
        <v>0</v>
      </c>
      <c r="AL15" s="613">
        <f aca="true" t="shared" si="13" ref="AL15:AL20">AB15+AG15</f>
        <v>79.44</v>
      </c>
      <c r="AM15" s="614">
        <f aca="true" t="shared" si="14" ref="AM15:AM20">AC15+AH15</f>
        <v>0</v>
      </c>
      <c r="AN15" s="67">
        <f t="shared" si="6"/>
        <v>0</v>
      </c>
      <c r="AO15" s="64">
        <f t="shared" si="7"/>
        <v>0</v>
      </c>
      <c r="AP15" s="64">
        <f t="shared" si="8"/>
        <v>0</v>
      </c>
      <c r="AQ15" s="64">
        <f t="shared" si="9"/>
        <v>1.2641629535327816</v>
      </c>
      <c r="AR15" s="68">
        <f t="shared" si="10"/>
        <v>0</v>
      </c>
    </row>
    <row r="16" spans="1:44" ht="11.25">
      <c r="A16" s="57"/>
      <c r="B16" s="39" t="s">
        <v>29</v>
      </c>
      <c r="C16" s="39" t="s">
        <v>142</v>
      </c>
      <c r="D16" s="41" t="s">
        <v>89</v>
      </c>
      <c r="E16" s="523"/>
      <c r="F16" s="553"/>
      <c r="G16" s="553"/>
      <c r="H16" s="553">
        <v>9.6207</v>
      </c>
      <c r="I16" s="554"/>
      <c r="J16" s="523"/>
      <c r="K16" s="702"/>
      <c r="L16" s="702"/>
      <c r="M16" s="702">
        <v>9.383778</v>
      </c>
      <c r="N16" s="703"/>
      <c r="O16" s="523"/>
      <c r="P16" s="553"/>
      <c r="Q16" s="553"/>
      <c r="R16" s="553">
        <v>10.2</v>
      </c>
      <c r="S16" s="554"/>
      <c r="T16" s="523"/>
      <c r="U16" s="553"/>
      <c r="V16" s="553"/>
      <c r="W16" s="553">
        <v>10.2</v>
      </c>
      <c r="X16" s="554"/>
      <c r="Y16" s="523"/>
      <c r="Z16" s="528"/>
      <c r="AA16" s="528"/>
      <c r="AB16" s="528">
        <v>3.3013</v>
      </c>
      <c r="AC16" s="529"/>
      <c r="AD16" s="523"/>
      <c r="AE16" s="528"/>
      <c r="AF16" s="528"/>
      <c r="AG16" s="528">
        <v>3.321295</v>
      </c>
      <c r="AH16" s="529"/>
      <c r="AI16" s="523"/>
      <c r="AJ16" s="613">
        <f t="shared" si="11"/>
        <v>0</v>
      </c>
      <c r="AK16" s="613">
        <f t="shared" si="12"/>
        <v>0</v>
      </c>
      <c r="AL16" s="613">
        <f t="shared" si="13"/>
        <v>6.6225950000000005</v>
      </c>
      <c r="AM16" s="614">
        <f t="shared" si="14"/>
        <v>0</v>
      </c>
      <c r="AN16" s="67">
        <f t="shared" si="6"/>
        <v>0</v>
      </c>
      <c r="AO16" s="64">
        <f t="shared" si="7"/>
        <v>0</v>
      </c>
      <c r="AP16" s="64">
        <f t="shared" si="8"/>
        <v>0</v>
      </c>
      <c r="AQ16" s="64">
        <f t="shared" si="9"/>
        <v>0.6492740196078433</v>
      </c>
      <c r="AR16" s="68">
        <f t="shared" si="10"/>
        <v>0</v>
      </c>
    </row>
    <row r="17" spans="1:44" ht="11.25">
      <c r="A17" s="57"/>
      <c r="B17" s="39" t="s">
        <v>30</v>
      </c>
      <c r="C17" s="39" t="s">
        <v>143</v>
      </c>
      <c r="D17" s="41" t="s">
        <v>89</v>
      </c>
      <c r="E17" s="523"/>
      <c r="F17" s="553"/>
      <c r="G17" s="553"/>
      <c r="H17" s="553"/>
      <c r="I17" s="554">
        <v>56.8872</v>
      </c>
      <c r="J17" s="523"/>
      <c r="K17" s="702"/>
      <c r="L17" s="702"/>
      <c r="M17" s="702"/>
      <c r="N17" s="703">
        <v>57.351362</v>
      </c>
      <c r="O17" s="523"/>
      <c r="P17" s="553"/>
      <c r="Q17" s="553"/>
      <c r="R17" s="553"/>
      <c r="S17" s="554">
        <v>58.643</v>
      </c>
      <c r="T17" s="523"/>
      <c r="U17" s="553"/>
      <c r="V17" s="553"/>
      <c r="W17" s="553"/>
      <c r="X17" s="554">
        <v>58.643</v>
      </c>
      <c r="Y17" s="523"/>
      <c r="Z17" s="528"/>
      <c r="AA17" s="528"/>
      <c r="AB17" s="528"/>
      <c r="AC17" s="529">
        <v>28.047559</v>
      </c>
      <c r="AD17" s="523"/>
      <c r="AE17" s="528"/>
      <c r="AF17" s="528"/>
      <c r="AG17" s="528"/>
      <c r="AH17" s="529">
        <v>29.375555</v>
      </c>
      <c r="AI17" s="523"/>
      <c r="AJ17" s="613">
        <f t="shared" si="11"/>
        <v>0</v>
      </c>
      <c r="AK17" s="613">
        <f t="shared" si="12"/>
        <v>0</v>
      </c>
      <c r="AL17" s="613">
        <f t="shared" si="13"/>
        <v>0</v>
      </c>
      <c r="AM17" s="614">
        <f t="shared" si="14"/>
        <v>57.423114</v>
      </c>
      <c r="AN17" s="67">
        <f t="shared" si="6"/>
        <v>0</v>
      </c>
      <c r="AO17" s="64">
        <f t="shared" si="7"/>
        <v>0</v>
      </c>
      <c r="AP17" s="64">
        <f t="shared" si="8"/>
        <v>0</v>
      </c>
      <c r="AQ17" s="64">
        <f t="shared" si="9"/>
        <v>0</v>
      </c>
      <c r="AR17" s="68">
        <f t="shared" si="10"/>
        <v>0.9791980969595688</v>
      </c>
    </row>
    <row r="18" spans="1:44" ht="11.25">
      <c r="A18" s="57" t="s">
        <v>94</v>
      </c>
      <c r="B18" s="39" t="s">
        <v>95</v>
      </c>
      <c r="C18" s="39" t="s">
        <v>44</v>
      </c>
      <c r="D18" s="41" t="s">
        <v>89</v>
      </c>
      <c r="E18" s="519">
        <f>SUM(F18:I18)</f>
        <v>0</v>
      </c>
      <c r="F18" s="553"/>
      <c r="G18" s="553"/>
      <c r="H18" s="553"/>
      <c r="I18" s="554"/>
      <c r="J18" s="519">
        <f>SUM(K18:N18)</f>
        <v>0</v>
      </c>
      <c r="K18" s="702"/>
      <c r="L18" s="702"/>
      <c r="M18" s="702"/>
      <c r="N18" s="703"/>
      <c r="O18" s="519">
        <f>SUM(P18:S18)</f>
        <v>0</v>
      </c>
      <c r="P18" s="553"/>
      <c r="Q18" s="553"/>
      <c r="R18" s="553"/>
      <c r="S18" s="554"/>
      <c r="T18" s="519">
        <f>SUM(U18:X18)</f>
        <v>0</v>
      </c>
      <c r="U18" s="553"/>
      <c r="V18" s="553"/>
      <c r="W18" s="553"/>
      <c r="X18" s="554"/>
      <c r="Y18" s="519">
        <f>SUM(Z18:AC18)</f>
        <v>0</v>
      </c>
      <c r="Z18" s="528"/>
      <c r="AA18" s="528"/>
      <c r="AB18" s="528"/>
      <c r="AC18" s="529"/>
      <c r="AD18" s="519">
        <f>SUM(AE18:AH18)</f>
        <v>0</v>
      </c>
      <c r="AE18" s="528"/>
      <c r="AF18" s="528"/>
      <c r="AG18" s="528"/>
      <c r="AH18" s="529"/>
      <c r="AI18" s="519">
        <f>SUM(AJ18:AM18)</f>
        <v>0</v>
      </c>
      <c r="AJ18" s="613">
        <f t="shared" si="11"/>
        <v>0</v>
      </c>
      <c r="AK18" s="613">
        <f t="shared" si="12"/>
        <v>0</v>
      </c>
      <c r="AL18" s="613">
        <f t="shared" si="13"/>
        <v>0</v>
      </c>
      <c r="AM18" s="614">
        <f t="shared" si="14"/>
        <v>0</v>
      </c>
      <c r="AN18" s="67">
        <f t="shared" si="6"/>
        <v>0</v>
      </c>
      <c r="AO18" s="64">
        <f t="shared" si="7"/>
        <v>0</v>
      </c>
      <c r="AP18" s="64">
        <f t="shared" si="8"/>
        <v>0</v>
      </c>
      <c r="AQ18" s="64">
        <f t="shared" si="9"/>
        <v>0</v>
      </c>
      <c r="AR18" s="68">
        <f t="shared" si="10"/>
        <v>0</v>
      </c>
    </row>
    <row r="19" spans="1:44" ht="22.5">
      <c r="A19" s="57" t="s">
        <v>96</v>
      </c>
      <c r="B19" s="39" t="s">
        <v>97</v>
      </c>
      <c r="C19" s="39" t="s">
        <v>47</v>
      </c>
      <c r="D19" s="41" t="s">
        <v>89</v>
      </c>
      <c r="E19" s="519">
        <f>SUM(F19:I19)</f>
        <v>0</v>
      </c>
      <c r="F19" s="553"/>
      <c r="G19" s="553"/>
      <c r="H19" s="553"/>
      <c r="I19" s="554"/>
      <c r="J19" s="519">
        <f>SUM(K19:N19)</f>
        <v>0</v>
      </c>
      <c r="K19" s="702"/>
      <c r="L19" s="702"/>
      <c r="M19" s="702"/>
      <c r="N19" s="703"/>
      <c r="O19" s="519">
        <f>SUM(P19:S19)</f>
        <v>0</v>
      </c>
      <c r="P19" s="553"/>
      <c r="Q19" s="553"/>
      <c r="R19" s="553"/>
      <c r="S19" s="554"/>
      <c r="T19" s="519">
        <f>SUM(U19:X19)</f>
        <v>0</v>
      </c>
      <c r="U19" s="553"/>
      <c r="V19" s="553"/>
      <c r="W19" s="553"/>
      <c r="X19" s="554"/>
      <c r="Y19" s="519">
        <f>SUM(Z19:AC19)</f>
        <v>0</v>
      </c>
      <c r="Z19" s="528"/>
      <c r="AA19" s="528"/>
      <c r="AB19" s="528"/>
      <c r="AC19" s="529"/>
      <c r="AD19" s="519">
        <f>SUM(AE19:AH19)</f>
        <v>0</v>
      </c>
      <c r="AE19" s="528"/>
      <c r="AF19" s="528"/>
      <c r="AG19" s="528"/>
      <c r="AH19" s="529"/>
      <c r="AI19" s="519">
        <f>SUM(AJ19:AM19)</f>
        <v>0</v>
      </c>
      <c r="AJ19" s="613">
        <f t="shared" si="11"/>
        <v>0</v>
      </c>
      <c r="AK19" s="613">
        <f t="shared" si="12"/>
        <v>0</v>
      </c>
      <c r="AL19" s="613">
        <f t="shared" si="13"/>
        <v>0</v>
      </c>
      <c r="AM19" s="614">
        <f t="shared" si="14"/>
        <v>0</v>
      </c>
      <c r="AN19" s="67">
        <f t="shared" si="6"/>
        <v>0</v>
      </c>
      <c r="AO19" s="64">
        <f t="shared" si="7"/>
        <v>0</v>
      </c>
      <c r="AP19" s="64">
        <f t="shared" si="8"/>
        <v>0</v>
      </c>
      <c r="AQ19" s="64">
        <f t="shared" si="9"/>
        <v>0</v>
      </c>
      <c r="AR19" s="68">
        <f t="shared" si="10"/>
        <v>0</v>
      </c>
    </row>
    <row r="20" spans="1:44" ht="11.25">
      <c r="A20" s="57" t="s">
        <v>98</v>
      </c>
      <c r="B20" s="39" t="s">
        <v>99</v>
      </c>
      <c r="C20" s="39" t="s">
        <v>50</v>
      </c>
      <c r="D20" s="41" t="s">
        <v>89</v>
      </c>
      <c r="E20" s="519">
        <f>SUM(F20:I20)</f>
        <v>81.9</v>
      </c>
      <c r="F20" s="553">
        <v>62.37</v>
      </c>
      <c r="G20" s="553">
        <v>9.75</v>
      </c>
      <c r="H20" s="553">
        <v>9.78</v>
      </c>
      <c r="I20" s="554"/>
      <c r="J20" s="519">
        <f>SUM(K20:N20)</f>
        <v>83.15036099999999</v>
      </c>
      <c r="K20" s="702">
        <v>59.982462</v>
      </c>
      <c r="L20" s="702">
        <v>9.508152</v>
      </c>
      <c r="M20" s="702">
        <v>13.659747</v>
      </c>
      <c r="N20" s="703"/>
      <c r="O20" s="519">
        <f>SUM(P20:S20)</f>
        <v>84.2</v>
      </c>
      <c r="P20" s="553">
        <v>62.84</v>
      </c>
      <c r="Q20" s="553">
        <v>10.326</v>
      </c>
      <c r="R20" s="553">
        <v>11.034</v>
      </c>
      <c r="S20" s="554"/>
      <c r="T20" s="519">
        <f>SUM(U20:X20)</f>
        <v>84.2</v>
      </c>
      <c r="U20" s="553">
        <v>62.84</v>
      </c>
      <c r="V20" s="553">
        <v>10.326</v>
      </c>
      <c r="W20" s="553">
        <v>11.034</v>
      </c>
      <c r="X20" s="554"/>
      <c r="Y20" s="519">
        <f>SUM(Z20:AC20)</f>
        <v>44.93000000000001</v>
      </c>
      <c r="Z20" s="528">
        <v>40.21</v>
      </c>
      <c r="AA20" s="528">
        <v>3.45</v>
      </c>
      <c r="AB20" s="528">
        <v>1.27</v>
      </c>
      <c r="AC20" s="529"/>
      <c r="AD20" s="519">
        <f>SUM(AE20:AH20)</f>
        <v>43.81999999999999</v>
      </c>
      <c r="AE20" s="528">
        <v>39.23</v>
      </c>
      <c r="AF20" s="528">
        <v>3.47</v>
      </c>
      <c r="AG20" s="528">
        <v>1.12</v>
      </c>
      <c r="AH20" s="529"/>
      <c r="AI20" s="519">
        <f>SUM(AJ20:AM20)</f>
        <v>88.75</v>
      </c>
      <c r="AJ20" s="613">
        <f t="shared" si="11"/>
        <v>79.44</v>
      </c>
      <c r="AK20" s="613">
        <f t="shared" si="12"/>
        <v>6.92</v>
      </c>
      <c r="AL20" s="613">
        <f t="shared" si="13"/>
        <v>2.39</v>
      </c>
      <c r="AM20" s="614">
        <f t="shared" si="14"/>
        <v>0</v>
      </c>
      <c r="AN20" s="67">
        <f t="shared" si="6"/>
        <v>1.0540380047505937</v>
      </c>
      <c r="AO20" s="64">
        <f t="shared" si="7"/>
        <v>1.2641629535327816</v>
      </c>
      <c r="AP20" s="64">
        <f t="shared" si="8"/>
        <v>0.6701530118148363</v>
      </c>
      <c r="AQ20" s="64">
        <f t="shared" si="9"/>
        <v>0.21660322639115462</v>
      </c>
      <c r="AR20" s="68">
        <f t="shared" si="10"/>
        <v>0</v>
      </c>
    </row>
    <row r="21" spans="1:44" ht="11.25">
      <c r="A21" s="57" t="s">
        <v>69</v>
      </c>
      <c r="B21" s="39" t="s">
        <v>100</v>
      </c>
      <c r="C21" s="39" t="s">
        <v>71</v>
      </c>
      <c r="D21" s="41" t="s">
        <v>89</v>
      </c>
      <c r="E21" s="519">
        <f>SUM(F21:I21)</f>
        <v>9.361</v>
      </c>
      <c r="F21" s="530">
        <f>3!E21</f>
        <v>0</v>
      </c>
      <c r="G21" s="530">
        <f>3!F21</f>
        <v>0.129</v>
      </c>
      <c r="H21" s="530">
        <f>3!G21</f>
        <v>3.184</v>
      </c>
      <c r="I21" s="555">
        <f>3!H21</f>
        <v>6.048</v>
      </c>
      <c r="J21" s="519">
        <f>SUM(K21:N21)</f>
        <v>9.504088000000001</v>
      </c>
      <c r="K21" s="530">
        <f>3!I21</f>
        <v>0</v>
      </c>
      <c r="L21" s="530">
        <f>3!J21</f>
        <v>0.122574</v>
      </c>
      <c r="M21" s="530">
        <f>3!K21</f>
        <v>3.072452</v>
      </c>
      <c r="N21" s="555">
        <f>3!L21</f>
        <v>6.309062000000001</v>
      </c>
      <c r="O21" s="519">
        <f>SUM(P21:S21)</f>
        <v>9.514600000000002</v>
      </c>
      <c r="P21" s="530">
        <f>3!M21</f>
        <v>0</v>
      </c>
      <c r="Q21" s="530">
        <f>3!N21</f>
        <v>0.1262</v>
      </c>
      <c r="R21" s="530">
        <f>3!O21</f>
        <v>2.8307</v>
      </c>
      <c r="S21" s="555">
        <f>3!P21</f>
        <v>6.5577000000000005</v>
      </c>
      <c r="T21" s="519">
        <f>SUM(U21:X21)</f>
        <v>9.514600000000002</v>
      </c>
      <c r="U21" s="530">
        <f>3!Q21</f>
        <v>0</v>
      </c>
      <c r="V21" s="530">
        <f>3!R21</f>
        <v>0.1262</v>
      </c>
      <c r="W21" s="530">
        <f>3!S21</f>
        <v>2.8307</v>
      </c>
      <c r="X21" s="555">
        <f>3!T21</f>
        <v>6.5577000000000005</v>
      </c>
      <c r="Y21" s="519">
        <f>SUM(Z21:AC21)</f>
        <v>5.011841</v>
      </c>
      <c r="Z21" s="530">
        <f>3!U21</f>
        <v>0</v>
      </c>
      <c r="AA21" s="530">
        <f>3!V21</f>
        <v>0.13790000000000002</v>
      </c>
      <c r="AB21" s="530">
        <f>3!W21</f>
        <v>1.666741</v>
      </c>
      <c r="AC21" s="555">
        <f>3!X21</f>
        <v>3.2072</v>
      </c>
      <c r="AD21" s="519">
        <f>SUM(AE21:AH21)</f>
        <v>5.011765</v>
      </c>
      <c r="AE21" s="530">
        <f>3!Y21</f>
        <v>0</v>
      </c>
      <c r="AF21" s="530">
        <f>3!Z21</f>
        <v>0.13790500000000003</v>
      </c>
      <c r="AG21" s="530">
        <f>3!AA21</f>
        <v>1.66674</v>
      </c>
      <c r="AH21" s="530">
        <f>3!AB21</f>
        <v>3.2071199999999997</v>
      </c>
      <c r="AI21" s="519">
        <f>SUM(AJ21:AM21)</f>
        <v>10.023606000000001</v>
      </c>
      <c r="AJ21" s="530">
        <f>3!AC21</f>
        <v>0</v>
      </c>
      <c r="AK21" s="530">
        <f>3!AD21</f>
        <v>0.275805</v>
      </c>
      <c r="AL21" s="530">
        <f>3!AE21</f>
        <v>3.3334810000000004</v>
      </c>
      <c r="AM21" s="588">
        <f>3!AF21</f>
        <v>6.41432</v>
      </c>
      <c r="AN21" s="67">
        <f t="shared" si="6"/>
        <v>1.0534973619490047</v>
      </c>
      <c r="AO21" s="64">
        <f t="shared" si="7"/>
        <v>0</v>
      </c>
      <c r="AP21" s="64">
        <f t="shared" si="8"/>
        <v>2.1854595879556262</v>
      </c>
      <c r="AQ21" s="64">
        <f t="shared" si="9"/>
        <v>1.1776171971597131</v>
      </c>
      <c r="AR21" s="68">
        <f t="shared" si="10"/>
        <v>0.978135626820379</v>
      </c>
    </row>
    <row r="22" spans="1:44" ht="11.25">
      <c r="A22" s="57"/>
      <c r="B22" s="39" t="s">
        <v>101</v>
      </c>
      <c r="C22" s="39" t="s">
        <v>74</v>
      </c>
      <c r="D22" s="41" t="s">
        <v>102</v>
      </c>
      <c r="E22" s="519">
        <f aca="true" t="shared" si="15" ref="E22:AB22">IF(E11=0,0,E21/E11*100)</f>
        <v>11.429792429792428</v>
      </c>
      <c r="F22" s="520">
        <f t="shared" si="15"/>
        <v>0</v>
      </c>
      <c r="G22" s="520">
        <f t="shared" si="15"/>
        <v>1.3230769230769233</v>
      </c>
      <c r="H22" s="520">
        <f t="shared" si="15"/>
        <v>3.8938152663484598</v>
      </c>
      <c r="I22" s="521">
        <f t="shared" si="15"/>
        <v>10.63156562460448</v>
      </c>
      <c r="J22" s="519">
        <f t="shared" si="15"/>
        <v>11.430002089828573</v>
      </c>
      <c r="K22" s="520">
        <f t="shared" si="15"/>
        <v>0</v>
      </c>
      <c r="L22" s="520">
        <f t="shared" si="15"/>
        <v>1.2891464082610373</v>
      </c>
      <c r="M22" s="520">
        <f t="shared" si="15"/>
        <v>3.7005907560002873</v>
      </c>
      <c r="N22" s="521">
        <f t="shared" si="15"/>
        <v>11.000718692609254</v>
      </c>
      <c r="O22" s="519">
        <f t="shared" si="15"/>
        <v>11.300000000000002</v>
      </c>
      <c r="P22" s="520">
        <f t="shared" si="15"/>
        <v>0</v>
      </c>
      <c r="Q22" s="520">
        <f t="shared" si="15"/>
        <v>1.222157660275034</v>
      </c>
      <c r="R22" s="520">
        <f t="shared" si="15"/>
        <v>3.3669148607179387</v>
      </c>
      <c r="S22" s="521">
        <f t="shared" si="15"/>
        <v>11.182408812646011</v>
      </c>
      <c r="T22" s="519">
        <f t="shared" si="15"/>
        <v>11.300000000000002</v>
      </c>
      <c r="U22" s="520">
        <f t="shared" si="15"/>
        <v>0</v>
      </c>
      <c r="V22" s="520">
        <f t="shared" si="15"/>
        <v>1.222157660275034</v>
      </c>
      <c r="W22" s="520">
        <f t="shared" si="15"/>
        <v>3.3669148607179387</v>
      </c>
      <c r="X22" s="521">
        <f t="shared" si="15"/>
        <v>11.182408812646011</v>
      </c>
      <c r="Y22" s="519">
        <f t="shared" si="15"/>
        <v>11.154776318718005</v>
      </c>
      <c r="Z22" s="520">
        <f t="shared" si="15"/>
        <v>0</v>
      </c>
      <c r="AA22" s="520">
        <f t="shared" si="15"/>
        <v>3.997101449275363</v>
      </c>
      <c r="AB22" s="520">
        <f t="shared" si="15"/>
        <v>3.7219576028386845</v>
      </c>
      <c r="AC22" s="521">
        <f aca="true" t="shared" si="16" ref="AC22:AM22">IF(AC11=0,0,AC21/AC11*100)</f>
        <v>11.434863190768223</v>
      </c>
      <c r="AD22" s="519">
        <f t="shared" si="16"/>
        <v>11.437163395709723</v>
      </c>
      <c r="AE22" s="520">
        <f t="shared" si="16"/>
        <v>0</v>
      </c>
      <c r="AF22" s="520">
        <f t="shared" si="16"/>
        <v>3.9742074927953897</v>
      </c>
      <c r="AG22" s="520">
        <f t="shared" si="16"/>
        <v>3.8165573061206457</v>
      </c>
      <c r="AH22" s="521">
        <f t="shared" si="16"/>
        <v>10.917649045269103</v>
      </c>
      <c r="AI22" s="519">
        <f t="shared" si="16"/>
        <v>11.294203943661973</v>
      </c>
      <c r="AJ22" s="520">
        <f t="shared" si="16"/>
        <v>0</v>
      </c>
      <c r="AK22" s="520">
        <f t="shared" si="16"/>
        <v>3.985621387283237</v>
      </c>
      <c r="AL22" s="520">
        <f t="shared" si="16"/>
        <v>3.768663881483636</v>
      </c>
      <c r="AM22" s="586">
        <f t="shared" si="16"/>
        <v>11.170275439956113</v>
      </c>
      <c r="AN22" s="67">
        <f t="shared" si="6"/>
        <v>0.9994870746603514</v>
      </c>
      <c r="AO22" s="64">
        <f t="shared" si="7"/>
        <v>0</v>
      </c>
      <c r="AP22" s="64">
        <f t="shared" si="8"/>
        <v>3.2611352175187562</v>
      </c>
      <c r="AQ22" s="64">
        <f t="shared" si="9"/>
        <v>1.1193225957249275</v>
      </c>
      <c r="AR22" s="68">
        <f t="shared" si="10"/>
        <v>0.9989149589419252</v>
      </c>
    </row>
    <row r="23" spans="1:44" ht="11.25">
      <c r="A23" s="57" t="s">
        <v>75</v>
      </c>
      <c r="B23" s="39" t="s">
        <v>103</v>
      </c>
      <c r="C23" s="39" t="s">
        <v>77</v>
      </c>
      <c r="D23" s="41" t="s">
        <v>89</v>
      </c>
      <c r="E23" s="519">
        <f>SUM(F23:I23)</f>
        <v>0.7</v>
      </c>
      <c r="F23" s="531"/>
      <c r="G23" s="531"/>
      <c r="H23" s="531">
        <v>0.7</v>
      </c>
      <c r="I23" s="532"/>
      <c r="J23" s="519">
        <f>SUM(K23:N23)</f>
        <v>0.850583</v>
      </c>
      <c r="K23" s="704"/>
      <c r="L23" s="704"/>
      <c r="M23" s="704">
        <v>0.850583</v>
      </c>
      <c r="N23" s="705"/>
      <c r="O23" s="519">
        <f>SUM(P23:S23)</f>
        <v>0.7</v>
      </c>
      <c r="P23" s="531"/>
      <c r="Q23" s="531"/>
      <c r="R23" s="531">
        <v>0.7</v>
      </c>
      <c r="S23" s="532"/>
      <c r="T23" s="519">
        <f>SUM(U23:X23)</f>
        <v>0.7</v>
      </c>
      <c r="U23" s="531"/>
      <c r="V23" s="531"/>
      <c r="W23" s="531">
        <v>0.7</v>
      </c>
      <c r="X23" s="532"/>
      <c r="Y23" s="519">
        <f>SUM(Z23:AC23)</f>
        <v>0.425</v>
      </c>
      <c r="Z23" s="531"/>
      <c r="AA23" s="531"/>
      <c r="AB23" s="531">
        <v>0.425</v>
      </c>
      <c r="AC23" s="532"/>
      <c r="AD23" s="519">
        <f>SUM(AE23:AH23)</f>
        <v>0.425</v>
      </c>
      <c r="AE23" s="531"/>
      <c r="AF23" s="531"/>
      <c r="AG23" s="531">
        <v>0.425</v>
      </c>
      <c r="AH23" s="532"/>
      <c r="AI23" s="519">
        <f>SUM(AJ23:AM23)</f>
        <v>0.85</v>
      </c>
      <c r="AJ23" s="613">
        <f>Z23+AE23</f>
        <v>0</v>
      </c>
      <c r="AK23" s="613">
        <f>AA23+AF23</f>
        <v>0</v>
      </c>
      <c r="AL23" s="613">
        <f>AB23+AG23</f>
        <v>0.85</v>
      </c>
      <c r="AM23" s="614">
        <f>AC23+AH23</f>
        <v>0</v>
      </c>
      <c r="AN23" s="67">
        <f t="shared" si="6"/>
        <v>1.2142857142857144</v>
      </c>
      <c r="AO23" s="64">
        <f t="shared" si="7"/>
        <v>0</v>
      </c>
      <c r="AP23" s="64">
        <f t="shared" si="8"/>
        <v>0</v>
      </c>
      <c r="AQ23" s="64">
        <f t="shared" si="9"/>
        <v>1.2142857142857144</v>
      </c>
      <c r="AR23" s="68">
        <f t="shared" si="10"/>
        <v>0</v>
      </c>
    </row>
    <row r="24" spans="1:44" ht="11.25">
      <c r="A24" s="57" t="s">
        <v>78</v>
      </c>
      <c r="B24" s="39" t="s">
        <v>104</v>
      </c>
      <c r="C24" s="39" t="s">
        <v>80</v>
      </c>
      <c r="D24" s="41" t="s">
        <v>89</v>
      </c>
      <c r="E24" s="522"/>
      <c r="F24" s="520">
        <f>F11-F21-F23</f>
        <v>62.37</v>
      </c>
      <c r="G24" s="520">
        <f>G11-G21-G23</f>
        <v>9.621</v>
      </c>
      <c r="H24" s="520">
        <f>H11-H21-H23</f>
        <v>77.8867</v>
      </c>
      <c r="I24" s="521">
        <f>I11-I21-I23</f>
        <v>50.8392</v>
      </c>
      <c r="J24" s="522"/>
      <c r="K24" s="520">
        <f>K11-K21-K23</f>
        <v>59.982462</v>
      </c>
      <c r="L24" s="520">
        <f>L11-L21-L23</f>
        <v>9.385578</v>
      </c>
      <c r="M24" s="520">
        <f>M11-M21-M23</f>
        <v>79.102952</v>
      </c>
      <c r="N24" s="521">
        <f>N11-N21-N23</f>
        <v>51.0423</v>
      </c>
      <c r="O24" s="522"/>
      <c r="P24" s="520">
        <f>P11-P21-P23</f>
        <v>62.84</v>
      </c>
      <c r="Q24" s="520">
        <f>Q11-Q21-Q23</f>
        <v>10.1998</v>
      </c>
      <c r="R24" s="520">
        <f>R11-R21-R23</f>
        <v>80.5433</v>
      </c>
      <c r="S24" s="521">
        <f>S11-S21-S23</f>
        <v>52.085300000000004</v>
      </c>
      <c r="T24" s="522"/>
      <c r="U24" s="520">
        <f>U11-U21-U23</f>
        <v>62.84</v>
      </c>
      <c r="V24" s="520">
        <f>V11-V21-V23</f>
        <v>10.1998</v>
      </c>
      <c r="W24" s="520">
        <f>W11-W21-W23</f>
        <v>80.5433</v>
      </c>
      <c r="X24" s="521">
        <f>X11-X21-X23</f>
        <v>52.085300000000004</v>
      </c>
      <c r="Y24" s="522"/>
      <c r="Z24" s="520">
        <f>Z11-Z21-Z23</f>
        <v>40.21</v>
      </c>
      <c r="AA24" s="520">
        <f>AA11-AA21-AA23</f>
        <v>3.3121</v>
      </c>
      <c r="AB24" s="520">
        <f>AB11-AB21-AB23</f>
        <v>42.689559</v>
      </c>
      <c r="AC24" s="521">
        <f>AC11-AC21-AC23</f>
        <v>24.840359</v>
      </c>
      <c r="AD24" s="522"/>
      <c r="AE24" s="520">
        <f>AE11-AE21-AE23</f>
        <v>39.23</v>
      </c>
      <c r="AF24" s="520">
        <f>AF11-AF21-AF23</f>
        <v>3.3320950000000003</v>
      </c>
      <c r="AG24" s="520">
        <f>AG11-AG21-AG23</f>
        <v>41.579555</v>
      </c>
      <c r="AH24" s="521">
        <f>AH11-AH21-AH23</f>
        <v>26.168435</v>
      </c>
      <c r="AI24" s="522"/>
      <c r="AJ24" s="520">
        <f>AJ11-AJ21-AJ23</f>
        <v>79.44</v>
      </c>
      <c r="AK24" s="520">
        <f>AK11-AK21-AK23</f>
        <v>6.644195</v>
      </c>
      <c r="AL24" s="520">
        <f>AL11-AL21-AL23</f>
        <v>84.269114</v>
      </c>
      <c r="AM24" s="586">
        <f>AM11-AM21-AM23</f>
        <v>51.008793999999995</v>
      </c>
      <c r="AN24" s="67">
        <f t="shared" si="6"/>
        <v>0</v>
      </c>
      <c r="AO24" s="64">
        <f t="shared" si="7"/>
        <v>1.2641629535327816</v>
      </c>
      <c r="AP24" s="64">
        <f t="shared" si="8"/>
        <v>0.6514044393027314</v>
      </c>
      <c r="AQ24" s="64">
        <f t="shared" si="9"/>
        <v>1.0462585218137326</v>
      </c>
      <c r="AR24" s="68">
        <f t="shared" si="10"/>
        <v>0.9793318652287688</v>
      </c>
    </row>
    <row r="25" spans="1:44" ht="11.25">
      <c r="A25" s="57" t="s">
        <v>105</v>
      </c>
      <c r="B25" s="39" t="s">
        <v>106</v>
      </c>
      <c r="C25" s="39" t="s">
        <v>107</v>
      </c>
      <c r="D25" s="41" t="s">
        <v>89</v>
      </c>
      <c r="E25" s="519">
        <f>SUM(F25:I25)</f>
        <v>71.83959999999999</v>
      </c>
      <c r="F25" s="553"/>
      <c r="G25" s="553"/>
      <c r="H25" s="553">
        <v>21</v>
      </c>
      <c r="I25" s="554">
        <v>50.8396</v>
      </c>
      <c r="J25" s="519">
        <f>SUM(K25:N25)</f>
        <v>72.79569</v>
      </c>
      <c r="K25" s="702"/>
      <c r="L25" s="702">
        <v>0.0018</v>
      </c>
      <c r="M25" s="702">
        <v>21.75159</v>
      </c>
      <c r="N25" s="703">
        <v>51.0423</v>
      </c>
      <c r="O25" s="519">
        <f>SUM(P25:S25)</f>
        <v>73.985</v>
      </c>
      <c r="P25" s="553"/>
      <c r="Q25" s="553"/>
      <c r="R25" s="553">
        <v>21.9</v>
      </c>
      <c r="S25" s="554">
        <v>52.085</v>
      </c>
      <c r="T25" s="519">
        <f>SUM(U25:X25)</f>
        <v>73.985</v>
      </c>
      <c r="U25" s="553"/>
      <c r="V25" s="553"/>
      <c r="W25" s="553">
        <v>21.9</v>
      </c>
      <c r="X25" s="554">
        <v>52.085</v>
      </c>
      <c r="Y25" s="519">
        <f>SUM(Z25:AC25)</f>
        <v>39.493159</v>
      </c>
      <c r="Z25" s="528"/>
      <c r="AA25" s="528">
        <v>0.0108</v>
      </c>
      <c r="AB25" s="533">
        <v>14.642</v>
      </c>
      <c r="AC25" s="529">
        <v>24.840359</v>
      </c>
      <c r="AD25" s="519">
        <f>SUM(AE25:AH25)</f>
        <v>38.383235</v>
      </c>
      <c r="AE25" s="528"/>
      <c r="AF25" s="528">
        <v>0.0108</v>
      </c>
      <c r="AG25" s="533">
        <v>12.204</v>
      </c>
      <c r="AH25" s="529">
        <v>26.168435</v>
      </c>
      <c r="AI25" s="519">
        <f>SUM(AJ25:AM25)</f>
        <v>77.87639399999999</v>
      </c>
      <c r="AJ25" s="613">
        <f>Z25+AE25</f>
        <v>0</v>
      </c>
      <c r="AK25" s="613">
        <f>AA25+AF25</f>
        <v>0.0216</v>
      </c>
      <c r="AL25" s="613">
        <f>AB25+AG25</f>
        <v>26.846</v>
      </c>
      <c r="AM25" s="614">
        <f>AC25+AH25</f>
        <v>51.008793999999995</v>
      </c>
      <c r="AN25" s="67">
        <f t="shared" si="6"/>
        <v>1.052597066973035</v>
      </c>
      <c r="AO25" s="64">
        <f t="shared" si="7"/>
        <v>0</v>
      </c>
      <c r="AP25" s="64">
        <f t="shared" si="8"/>
        <v>0</v>
      </c>
      <c r="AQ25" s="64">
        <f t="shared" si="9"/>
        <v>1.2258447488584476</v>
      </c>
      <c r="AR25" s="68">
        <f t="shared" si="10"/>
        <v>0.9793375059998078</v>
      </c>
    </row>
    <row r="26" spans="1:44" ht="11.25">
      <c r="A26" s="57"/>
      <c r="B26" s="39" t="s">
        <v>108</v>
      </c>
      <c r="C26" s="39"/>
      <c r="D26" s="41" t="s">
        <v>89</v>
      </c>
      <c r="E26" s="523"/>
      <c r="F26" s="524"/>
      <c r="G26" s="524"/>
      <c r="H26" s="524"/>
      <c r="I26" s="525"/>
      <c r="J26" s="523"/>
      <c r="K26" s="524"/>
      <c r="L26" s="524"/>
      <c r="M26" s="524"/>
      <c r="N26" s="525"/>
      <c r="O26" s="523"/>
      <c r="P26" s="524"/>
      <c r="Q26" s="524"/>
      <c r="R26" s="524"/>
      <c r="S26" s="525"/>
      <c r="T26" s="523"/>
      <c r="U26" s="524"/>
      <c r="V26" s="524"/>
      <c r="W26" s="524"/>
      <c r="X26" s="525"/>
      <c r="Y26" s="523"/>
      <c r="Z26" s="524"/>
      <c r="AA26" s="524"/>
      <c r="AB26" s="524"/>
      <c r="AC26" s="525"/>
      <c r="AD26" s="523"/>
      <c r="AE26" s="524"/>
      <c r="AF26" s="524"/>
      <c r="AG26" s="524"/>
      <c r="AH26" s="525"/>
      <c r="AI26" s="523"/>
      <c r="AJ26" s="524"/>
      <c r="AK26" s="524"/>
      <c r="AL26" s="524"/>
      <c r="AM26" s="587"/>
      <c r="AN26" s="67">
        <f t="shared" si="6"/>
        <v>0</v>
      </c>
      <c r="AO26" s="64">
        <f t="shared" si="7"/>
        <v>0</v>
      </c>
      <c r="AP26" s="64">
        <f t="shared" si="8"/>
        <v>0</v>
      </c>
      <c r="AQ26" s="64">
        <f t="shared" si="9"/>
        <v>0</v>
      </c>
      <c r="AR26" s="68">
        <f t="shared" si="10"/>
        <v>0</v>
      </c>
    </row>
    <row r="27" spans="1:44" ht="22.5">
      <c r="A27" s="57"/>
      <c r="B27" s="39" t="s">
        <v>109</v>
      </c>
      <c r="C27" s="39" t="s">
        <v>110</v>
      </c>
      <c r="D27" s="41" t="s">
        <v>89</v>
      </c>
      <c r="E27" s="519">
        <f>SUM(F27:I27)</f>
        <v>0</v>
      </c>
      <c r="F27" s="553"/>
      <c r="G27" s="553"/>
      <c r="H27" s="553"/>
      <c r="I27" s="554"/>
      <c r="J27" s="519">
        <f>SUM(K27:N27)</f>
        <v>0</v>
      </c>
      <c r="K27" s="553"/>
      <c r="L27" s="553"/>
      <c r="M27" s="553"/>
      <c r="N27" s="554"/>
      <c r="O27" s="519">
        <f>SUM(P27:S27)</f>
        <v>0</v>
      </c>
      <c r="P27" s="553"/>
      <c r="Q27" s="553"/>
      <c r="R27" s="553"/>
      <c r="S27" s="554"/>
      <c r="T27" s="519">
        <f>SUM(U27:X27)</f>
        <v>0</v>
      </c>
      <c r="U27" s="553"/>
      <c r="V27" s="553"/>
      <c r="W27" s="553"/>
      <c r="X27" s="554"/>
      <c r="Y27" s="519">
        <f>SUM(Z27:AC27)</f>
        <v>0</v>
      </c>
      <c r="Z27" s="528"/>
      <c r="AA27" s="528"/>
      <c r="AB27" s="528"/>
      <c r="AC27" s="529"/>
      <c r="AD27" s="519">
        <f>SUM(AE27:AH27)</f>
        <v>0</v>
      </c>
      <c r="AE27" s="528"/>
      <c r="AF27" s="528"/>
      <c r="AG27" s="528"/>
      <c r="AH27" s="529"/>
      <c r="AI27" s="519">
        <f>SUM(AJ27:AM27)</f>
        <v>0</v>
      </c>
      <c r="AJ27" s="528"/>
      <c r="AK27" s="528"/>
      <c r="AL27" s="528"/>
      <c r="AM27" s="589"/>
      <c r="AN27" s="67">
        <f t="shared" si="6"/>
        <v>0</v>
      </c>
      <c r="AO27" s="64">
        <f t="shared" si="7"/>
        <v>0</v>
      </c>
      <c r="AP27" s="64">
        <f t="shared" si="8"/>
        <v>0</v>
      </c>
      <c r="AQ27" s="64">
        <f t="shared" si="9"/>
        <v>0</v>
      </c>
      <c r="AR27" s="68">
        <f t="shared" si="10"/>
        <v>0</v>
      </c>
    </row>
    <row r="28" spans="1:44" ht="24.75" customHeight="1">
      <c r="A28" s="57"/>
      <c r="B28" s="39" t="s">
        <v>111</v>
      </c>
      <c r="C28" s="39" t="s">
        <v>112</v>
      </c>
      <c r="D28" s="41" t="s">
        <v>89</v>
      </c>
      <c r="E28" s="519">
        <f>SUM(F28:I28)</f>
        <v>0</v>
      </c>
      <c r="F28" s="553"/>
      <c r="G28" s="553"/>
      <c r="H28" s="553"/>
      <c r="I28" s="554"/>
      <c r="J28" s="519">
        <f>SUM(K28:N28)</f>
        <v>0</v>
      </c>
      <c r="K28" s="553"/>
      <c r="L28" s="553"/>
      <c r="M28" s="553"/>
      <c r="N28" s="554"/>
      <c r="O28" s="519">
        <f>SUM(P28:S28)</f>
        <v>0</v>
      </c>
      <c r="P28" s="553"/>
      <c r="Q28" s="553"/>
      <c r="R28" s="553"/>
      <c r="S28" s="554"/>
      <c r="T28" s="519">
        <f>SUM(U28:X28)</f>
        <v>0</v>
      </c>
      <c r="U28" s="553"/>
      <c r="V28" s="553"/>
      <c r="W28" s="553"/>
      <c r="X28" s="554"/>
      <c r="Y28" s="519">
        <f>SUM(Z28:AC28)</f>
        <v>0</v>
      </c>
      <c r="Z28" s="528"/>
      <c r="AA28" s="528"/>
      <c r="AB28" s="528"/>
      <c r="AC28" s="529"/>
      <c r="AD28" s="519">
        <f>SUM(AE28:AH28)</f>
        <v>0</v>
      </c>
      <c r="AE28" s="528"/>
      <c r="AF28" s="528"/>
      <c r="AG28" s="528"/>
      <c r="AH28" s="529"/>
      <c r="AI28" s="519">
        <f>SUM(AJ28:AM28)</f>
        <v>0</v>
      </c>
      <c r="AJ28" s="528"/>
      <c r="AK28" s="528"/>
      <c r="AL28" s="528"/>
      <c r="AM28" s="589"/>
      <c r="AN28" s="67">
        <f t="shared" si="6"/>
        <v>0</v>
      </c>
      <c r="AO28" s="64">
        <f t="shared" si="7"/>
        <v>0</v>
      </c>
      <c r="AP28" s="64">
        <f t="shared" si="8"/>
        <v>0</v>
      </c>
      <c r="AQ28" s="64">
        <f t="shared" si="9"/>
        <v>0</v>
      </c>
      <c r="AR28" s="68">
        <f t="shared" si="10"/>
        <v>0</v>
      </c>
    </row>
    <row r="29" spans="1:44" ht="11.25">
      <c r="A29" s="57" t="s">
        <v>113</v>
      </c>
      <c r="B29" s="39" t="s">
        <v>114</v>
      </c>
      <c r="C29" s="39" t="s">
        <v>115</v>
      </c>
      <c r="D29" s="41" t="s">
        <v>89</v>
      </c>
      <c r="E29" s="519">
        <f>SUM(F29:I29)</f>
        <v>0</v>
      </c>
      <c r="F29" s="553"/>
      <c r="G29" s="553"/>
      <c r="H29" s="553"/>
      <c r="I29" s="554"/>
      <c r="J29" s="519">
        <f>SUM(K29:N29)</f>
        <v>0</v>
      </c>
      <c r="K29" s="553"/>
      <c r="L29" s="553"/>
      <c r="M29" s="553"/>
      <c r="N29" s="554"/>
      <c r="O29" s="519">
        <f>SUM(P29:S29)</f>
        <v>0</v>
      </c>
      <c r="P29" s="553"/>
      <c r="Q29" s="553"/>
      <c r="R29" s="553"/>
      <c r="S29" s="554"/>
      <c r="T29" s="519">
        <f>SUM(U29:X29)</f>
        <v>0</v>
      </c>
      <c r="U29" s="553"/>
      <c r="V29" s="553"/>
      <c r="W29" s="553"/>
      <c r="X29" s="554"/>
      <c r="Y29" s="519">
        <f>SUM(Z29:AC29)</f>
        <v>0</v>
      </c>
      <c r="Z29" s="528"/>
      <c r="AA29" s="528"/>
      <c r="AB29" s="528"/>
      <c r="AC29" s="529"/>
      <c r="AD29" s="519">
        <f>SUM(AE29:AH29)</f>
        <v>0</v>
      </c>
      <c r="AE29" s="528"/>
      <c r="AF29" s="528"/>
      <c r="AG29" s="528"/>
      <c r="AH29" s="529"/>
      <c r="AI29" s="519">
        <f>SUM(AJ29:AM29)</f>
        <v>0</v>
      </c>
      <c r="AJ29" s="528"/>
      <c r="AK29" s="528"/>
      <c r="AL29" s="528"/>
      <c r="AM29" s="589"/>
      <c r="AN29" s="67">
        <f t="shared" si="6"/>
        <v>0</v>
      </c>
      <c r="AO29" s="64">
        <f t="shared" si="7"/>
        <v>0</v>
      </c>
      <c r="AP29" s="64">
        <f t="shared" si="8"/>
        <v>0</v>
      </c>
      <c r="AQ29" s="64">
        <f t="shared" si="9"/>
        <v>0</v>
      </c>
      <c r="AR29" s="68">
        <f t="shared" si="10"/>
        <v>0</v>
      </c>
    </row>
    <row r="30" spans="1:44" s="59" customFormat="1" ht="12.75">
      <c r="A30" s="57" t="s">
        <v>116</v>
      </c>
      <c r="B30" s="39" t="s">
        <v>117</v>
      </c>
      <c r="C30" s="39" t="s">
        <v>118</v>
      </c>
      <c r="D30" s="41" t="s">
        <v>89</v>
      </c>
      <c r="E30" s="519">
        <f>SUM(F30:I30)</f>
        <v>0</v>
      </c>
      <c r="F30" s="553"/>
      <c r="G30" s="553"/>
      <c r="H30" s="553"/>
      <c r="I30" s="554"/>
      <c r="J30" s="519">
        <f>SUM(K30:N30)</f>
        <v>0</v>
      </c>
      <c r="K30" s="553"/>
      <c r="L30" s="553"/>
      <c r="M30" s="553"/>
      <c r="N30" s="554"/>
      <c r="O30" s="519">
        <f>SUM(P30:S30)</f>
        <v>0</v>
      </c>
      <c r="P30" s="553"/>
      <c r="Q30" s="553"/>
      <c r="R30" s="553"/>
      <c r="S30" s="554"/>
      <c r="T30" s="519">
        <f>SUM(U30:X30)</f>
        <v>0</v>
      </c>
      <c r="U30" s="553"/>
      <c r="V30" s="553"/>
      <c r="W30" s="553"/>
      <c r="X30" s="554"/>
      <c r="Y30" s="519">
        <f>SUM(Z30:AC30)</f>
        <v>0</v>
      </c>
      <c r="Z30" s="528"/>
      <c r="AA30" s="528"/>
      <c r="AB30" s="528"/>
      <c r="AC30" s="529"/>
      <c r="AD30" s="519">
        <f>SUM(AE30:AH30)</f>
        <v>0</v>
      </c>
      <c r="AE30" s="528"/>
      <c r="AF30" s="528"/>
      <c r="AG30" s="528"/>
      <c r="AH30" s="529"/>
      <c r="AI30" s="519">
        <f>SUM(AJ30:AM30)</f>
        <v>0</v>
      </c>
      <c r="AJ30" s="528"/>
      <c r="AK30" s="528"/>
      <c r="AL30" s="528"/>
      <c r="AM30" s="589"/>
      <c r="AN30" s="67">
        <f t="shared" si="6"/>
        <v>0</v>
      </c>
      <c r="AO30" s="64">
        <f t="shared" si="7"/>
        <v>0</v>
      </c>
      <c r="AP30" s="64">
        <f t="shared" si="8"/>
        <v>0</v>
      </c>
      <c r="AQ30" s="64">
        <f t="shared" si="9"/>
        <v>0</v>
      </c>
      <c r="AR30" s="68">
        <f t="shared" si="10"/>
        <v>0</v>
      </c>
    </row>
    <row r="31" spans="1:44" s="59" customFormat="1" ht="13.5" thickBot="1">
      <c r="A31" s="57" t="s">
        <v>119</v>
      </c>
      <c r="B31" s="39" t="s">
        <v>120</v>
      </c>
      <c r="C31" s="39" t="s">
        <v>121</v>
      </c>
      <c r="D31" s="41" t="s">
        <v>89</v>
      </c>
      <c r="E31" s="519">
        <f>SUM(F31:I31)</f>
        <v>0</v>
      </c>
      <c r="F31" s="553"/>
      <c r="G31" s="553"/>
      <c r="H31" s="553"/>
      <c r="I31" s="554"/>
      <c r="J31" s="519">
        <f>SUM(K31:N31)</f>
        <v>0</v>
      </c>
      <c r="K31" s="553"/>
      <c r="L31" s="553"/>
      <c r="M31" s="553"/>
      <c r="N31" s="554"/>
      <c r="O31" s="519">
        <f>SUM(P31:S31)</f>
        <v>0</v>
      </c>
      <c r="P31" s="553"/>
      <c r="Q31" s="553"/>
      <c r="R31" s="553"/>
      <c r="S31" s="554"/>
      <c r="T31" s="519">
        <f>SUM(U31:X31)</f>
        <v>0</v>
      </c>
      <c r="U31" s="553"/>
      <c r="V31" s="553"/>
      <c r="W31" s="553"/>
      <c r="X31" s="554"/>
      <c r="Y31" s="519">
        <f>SUM(Z31:AC31)</f>
        <v>0</v>
      </c>
      <c r="Z31" s="534"/>
      <c r="AA31" s="534"/>
      <c r="AB31" s="534"/>
      <c r="AC31" s="535"/>
      <c r="AD31" s="519">
        <f>SUM(AE31:AH31)</f>
        <v>0</v>
      </c>
      <c r="AE31" s="534"/>
      <c r="AF31" s="534"/>
      <c r="AG31" s="534"/>
      <c r="AH31" s="535"/>
      <c r="AI31" s="519">
        <f>SUM(AJ31:AM31)</f>
        <v>0</v>
      </c>
      <c r="AJ31" s="534"/>
      <c r="AK31" s="534"/>
      <c r="AL31" s="534"/>
      <c r="AM31" s="590"/>
      <c r="AN31" s="67">
        <f t="shared" si="6"/>
        <v>0</v>
      </c>
      <c r="AO31" s="64">
        <f t="shared" si="7"/>
        <v>0</v>
      </c>
      <c r="AP31" s="64">
        <f t="shared" si="8"/>
        <v>0</v>
      </c>
      <c r="AQ31" s="64">
        <f t="shared" si="9"/>
        <v>0</v>
      </c>
      <c r="AR31" s="68">
        <f t="shared" si="10"/>
        <v>0</v>
      </c>
    </row>
    <row r="32" spans="1:44" ht="12" thickBot="1">
      <c r="A32" s="145" t="s">
        <v>122</v>
      </c>
      <c r="B32" s="39" t="s">
        <v>123</v>
      </c>
      <c r="C32" s="39" t="s">
        <v>124</v>
      </c>
      <c r="D32" s="41" t="s">
        <v>89</v>
      </c>
      <c r="E32" s="536"/>
      <c r="F32" s="537">
        <f>F24-F25-F29-F30-F31-G15-H15-I15</f>
        <v>0</v>
      </c>
      <c r="G32" s="537">
        <f>G24-G25-G27-G29-G30-G31-H16-I16</f>
        <v>0.0003000000000010772</v>
      </c>
      <c r="H32" s="537">
        <f>H24-H25-H27-H29-H30-H31-I17</f>
        <v>-0.000499999999995282</v>
      </c>
      <c r="I32" s="538">
        <f>I24-I25-I27-I29-I30-I31</f>
        <v>-0.00039999999999906777</v>
      </c>
      <c r="J32" s="536"/>
      <c r="K32" s="537">
        <f>K24-K25-K29-K30-K31-L15-M15-N15</f>
        <v>0</v>
      </c>
      <c r="L32" s="537">
        <f>L24-L25-L27-L29-L30-L31-M16-N16</f>
        <v>1.7763568394002505E-15</v>
      </c>
      <c r="M32" s="537">
        <f>M24-M25-M27-M29-M30-M31-N17</f>
        <v>0</v>
      </c>
      <c r="N32" s="538">
        <f>N24-N25-N27-N29-N30-N31</f>
        <v>0</v>
      </c>
      <c r="O32" s="536"/>
      <c r="P32" s="537">
        <f>P24-P25-P29-P30-P31-Q15-R15-S15</f>
        <v>0</v>
      </c>
      <c r="Q32" s="537">
        <f>Q24-Q25-Q27-Q29-Q30-Q31-R16-S16</f>
        <v>-0.00019999999999953388</v>
      </c>
      <c r="R32" s="537">
        <f>R24-R25-R27-R29-R30-R31-S17</f>
        <v>0.00030000000000285354</v>
      </c>
      <c r="S32" s="538">
        <f>S24-S25-S27-S29-S30-S31</f>
        <v>0.00030000000000285354</v>
      </c>
      <c r="T32" s="536"/>
      <c r="U32" s="537">
        <f>U24-U25-U29-U30-U31-V15-W15-X15</f>
        <v>0</v>
      </c>
      <c r="V32" s="537">
        <f>V24-V25-V27-V29-V30-V31-W16-X16</f>
        <v>-0.00019999999999953388</v>
      </c>
      <c r="W32" s="537">
        <f>W24-W25-W27-W29-W30-W31-X17</f>
        <v>0.00030000000000285354</v>
      </c>
      <c r="X32" s="538">
        <f>X24-X25-X27-X29-X30-X31</f>
        <v>0.00030000000000285354</v>
      </c>
      <c r="Y32" s="536"/>
      <c r="Z32" s="537">
        <f>Z24-Z25-Z29-Z30-Z31-AA15-AB15-AC15</f>
        <v>0</v>
      </c>
      <c r="AA32" s="537">
        <f>AA24-AA25-AA27-AA29-AA30-AA31-AB16-AC16</f>
        <v>0</v>
      </c>
      <c r="AB32" s="537">
        <f>AB24-AB25-AB27-AB29-AB30-AB31-AC17</f>
        <v>0</v>
      </c>
      <c r="AC32" s="538">
        <f>AC24-AC25-AC27-AC29-AC30-AC31</f>
        <v>0</v>
      </c>
      <c r="AD32" s="536"/>
      <c r="AE32" s="537">
        <f>AE24-AE25-AE29-AE30-AE31-AF15-AG15-AH15</f>
        <v>0</v>
      </c>
      <c r="AF32" s="537">
        <f>AF24-AF25-AF27-AF29-AF30-AF31-AG16-AH16</f>
        <v>0</v>
      </c>
      <c r="AG32" s="537">
        <f>AG24-AG25-AG27-AG29-AG30-AG31-AH17</f>
        <v>0</v>
      </c>
      <c r="AH32" s="538">
        <f>AH24-AH25-AH27-AH29-AH30-AH31</f>
        <v>0</v>
      </c>
      <c r="AI32" s="536"/>
      <c r="AJ32" s="537">
        <f>AJ24-AJ25-AJ29-AJ30-AJ31-AK15-AL15-AM15</f>
        <v>0</v>
      </c>
      <c r="AK32" s="537">
        <f>AK24-AK25-AK27-AK29-AK30-AK31-AL16-AM16</f>
        <v>-8.881784197001252E-16</v>
      </c>
      <c r="AL32" s="537">
        <f>AL24-AL25-AL27-AL29-AL30-AL31-AM17</f>
        <v>0</v>
      </c>
      <c r="AM32" s="592">
        <f>AM24-AM25-AM27-AM29-AM30-AM31</f>
        <v>0</v>
      </c>
      <c r="AN32" s="70"/>
      <c r="AO32" s="71"/>
      <c r="AP32" s="71"/>
      <c r="AQ32" s="71"/>
      <c r="AR32" s="72"/>
    </row>
    <row r="34" spans="2:4" s="14" customFormat="1" ht="11.25">
      <c r="B34" s="61"/>
      <c r="C34" s="61"/>
      <c r="D34" s="61"/>
    </row>
    <row r="35" spans="2:31" s="14" customFormat="1" ht="15">
      <c r="B35" s="61"/>
      <c r="C35" s="61"/>
      <c r="D35" s="61"/>
      <c r="E35" s="576" t="s">
        <v>1291</v>
      </c>
      <c r="F35" s="608"/>
      <c r="G35" s="608"/>
      <c r="H35" s="607"/>
      <c r="I35" s="607"/>
      <c r="J35" s="607"/>
      <c r="K35" s="576" t="s">
        <v>1342</v>
      </c>
      <c r="Y35" s="576" t="s">
        <v>1291</v>
      </c>
      <c r="Z35" s="608"/>
      <c r="AA35" s="608"/>
      <c r="AB35" s="607"/>
      <c r="AC35" s="607"/>
      <c r="AD35" s="607"/>
      <c r="AE35" s="576" t="s">
        <v>1289</v>
      </c>
    </row>
    <row r="36" spans="2:31" s="14" customFormat="1" ht="15">
      <c r="B36" s="61"/>
      <c r="C36" s="61"/>
      <c r="D36" s="61"/>
      <c r="E36" s="576" t="s">
        <v>1345</v>
      </c>
      <c r="F36" s="576"/>
      <c r="G36" s="576"/>
      <c r="H36" s="576"/>
      <c r="I36" s="576" t="s">
        <v>1288</v>
      </c>
      <c r="J36" s="576"/>
      <c r="K36" s="576"/>
      <c r="Y36" s="576"/>
      <c r="Z36" s="576"/>
      <c r="AA36" s="576"/>
      <c r="AB36" s="576"/>
      <c r="AC36" s="576" t="s">
        <v>1288</v>
      </c>
      <c r="AD36" s="576"/>
      <c r="AE36" s="576"/>
    </row>
    <row r="37" spans="2:31" s="14" customFormat="1" ht="15">
      <c r="B37" s="61"/>
      <c r="C37" s="61"/>
      <c r="D37" s="61"/>
      <c r="E37" s="576" t="s">
        <v>1290</v>
      </c>
      <c r="F37" s="576"/>
      <c r="G37" s="576" t="s">
        <v>1346</v>
      </c>
      <c r="H37" s="576"/>
      <c r="I37" s="576"/>
      <c r="J37" s="576"/>
      <c r="K37" s="576"/>
      <c r="Y37" s="576" t="s">
        <v>1290</v>
      </c>
      <c r="Z37" s="576"/>
      <c r="AA37" s="576"/>
      <c r="AB37" s="576"/>
      <c r="AC37" s="576"/>
      <c r="AD37" s="576"/>
      <c r="AE37" s="576"/>
    </row>
    <row r="38" spans="2:4" s="14" customFormat="1" ht="11.25">
      <c r="B38" s="61"/>
      <c r="C38" s="61"/>
      <c r="D38" s="61"/>
    </row>
    <row r="39" spans="2:4" s="14" customFormat="1" ht="11.25">
      <c r="B39" s="61"/>
      <c r="C39" s="61"/>
      <c r="D39" s="61"/>
    </row>
    <row r="40" spans="2:4" s="14" customFormat="1" ht="11.25">
      <c r="B40" s="61"/>
      <c r="C40" s="61"/>
      <c r="D40" s="61"/>
    </row>
    <row r="41" spans="2:4" s="14" customFormat="1" ht="11.25">
      <c r="B41" s="61"/>
      <c r="C41" s="61"/>
      <c r="D41" s="61"/>
    </row>
    <row r="42" spans="2:4" s="14" customFormat="1" ht="11.25">
      <c r="B42" s="61"/>
      <c r="C42" s="61"/>
      <c r="D42" s="61"/>
    </row>
    <row r="43" spans="2:4" s="14" customFormat="1" ht="11.25">
      <c r="B43" s="61"/>
      <c r="C43" s="61"/>
      <c r="D43" s="61"/>
    </row>
    <row r="44" spans="2:4" s="14" customFormat="1" ht="11.25">
      <c r="B44" s="61"/>
      <c r="C44" s="61"/>
      <c r="D44" s="61"/>
    </row>
    <row r="45" spans="2:4" s="14" customFormat="1" ht="11.25">
      <c r="B45" s="61"/>
      <c r="C45" s="61"/>
      <c r="D45" s="61"/>
    </row>
    <row r="46" spans="2:4" s="14" customFormat="1" ht="11.25">
      <c r="B46" s="61"/>
      <c r="C46" s="61"/>
      <c r="D46" s="61"/>
    </row>
    <row r="47" spans="2:4" s="14" customFormat="1" ht="11.25">
      <c r="B47" s="61"/>
      <c r="C47" s="61"/>
      <c r="D47" s="61"/>
    </row>
    <row r="48" spans="2:4" s="14" customFormat="1" ht="11.25">
      <c r="B48" s="61"/>
      <c r="C48" s="61"/>
      <c r="D48" s="61"/>
    </row>
    <row r="49" spans="2:4" s="14" customFormat="1" ht="11.25">
      <c r="B49" s="61"/>
      <c r="C49" s="61"/>
      <c r="D49" s="61"/>
    </row>
    <row r="50" spans="2:4" s="14" customFormat="1" ht="11.25">
      <c r="B50" s="61"/>
      <c r="C50" s="61"/>
      <c r="D50" s="61"/>
    </row>
    <row r="51" spans="2:4" s="14" customFormat="1" ht="11.25">
      <c r="B51" s="61"/>
      <c r="C51" s="61"/>
      <c r="D51" s="61"/>
    </row>
    <row r="52" spans="2:4" s="14" customFormat="1" ht="11.25">
      <c r="B52" s="61"/>
      <c r="C52" s="61"/>
      <c r="D52" s="61"/>
    </row>
    <row r="53" spans="2:4" s="14" customFormat="1" ht="11.25">
      <c r="B53" s="61"/>
      <c r="C53" s="61"/>
      <c r="D53" s="61"/>
    </row>
    <row r="54" spans="2:4" s="14" customFormat="1" ht="11.25">
      <c r="B54" s="61"/>
      <c r="C54" s="61"/>
      <c r="D54" s="61"/>
    </row>
    <row r="55" spans="2:4" s="14" customFormat="1" ht="11.25">
      <c r="B55" s="61"/>
      <c r="C55" s="61"/>
      <c r="D55" s="61"/>
    </row>
    <row r="56" spans="2:4" s="14" customFormat="1" ht="11.25">
      <c r="B56" s="61"/>
      <c r="C56" s="61"/>
      <c r="D56" s="61"/>
    </row>
    <row r="57" spans="2:4" s="14" customFormat="1" ht="11.25">
      <c r="B57" s="61"/>
      <c r="C57" s="61"/>
      <c r="D57" s="61"/>
    </row>
    <row r="58" spans="2:4" s="14" customFormat="1" ht="11.25">
      <c r="B58" s="61"/>
      <c r="C58" s="61"/>
      <c r="D58" s="61"/>
    </row>
    <row r="59" spans="2:4" s="14" customFormat="1" ht="11.25">
      <c r="B59" s="61"/>
      <c r="C59" s="61"/>
      <c r="D59" s="61"/>
    </row>
    <row r="60" spans="2:4" s="14" customFormat="1" ht="11.25">
      <c r="B60" s="61"/>
      <c r="C60" s="61"/>
      <c r="D60" s="61"/>
    </row>
    <row r="61" spans="2:4" s="14" customFormat="1" ht="11.25">
      <c r="B61" s="61"/>
      <c r="C61" s="61"/>
      <c r="D61" s="61"/>
    </row>
    <row r="62" spans="2:4" s="14" customFormat="1" ht="11.25">
      <c r="B62" s="61"/>
      <c r="C62" s="61"/>
      <c r="D62" s="61"/>
    </row>
    <row r="63" spans="2:4" s="14" customFormat="1" ht="11.25">
      <c r="B63" s="61"/>
      <c r="C63" s="61"/>
      <c r="D63" s="61"/>
    </row>
    <row r="64" spans="2:4" s="14" customFormat="1" ht="11.25">
      <c r="B64" s="61"/>
      <c r="C64" s="61"/>
      <c r="D64" s="61"/>
    </row>
    <row r="65" spans="2:4" s="14" customFormat="1" ht="11.25">
      <c r="B65" s="61"/>
      <c r="C65" s="61"/>
      <c r="D65" s="61"/>
    </row>
    <row r="66" spans="2:4" s="14" customFormat="1" ht="11.25">
      <c r="B66" s="61"/>
      <c r="C66" s="61"/>
      <c r="D66" s="61"/>
    </row>
    <row r="67" spans="2:4" s="14" customFormat="1" ht="11.25">
      <c r="B67" s="61"/>
      <c r="C67" s="61"/>
      <c r="D67" s="61"/>
    </row>
    <row r="68" spans="2:4" s="14" customFormat="1" ht="11.25">
      <c r="B68" s="61"/>
      <c r="C68" s="61"/>
      <c r="D68" s="61"/>
    </row>
    <row r="69" spans="2:4" s="14" customFormat="1" ht="11.25">
      <c r="B69" s="61"/>
      <c r="C69" s="61"/>
      <c r="D69" s="61"/>
    </row>
    <row r="70" spans="2:4" s="14" customFormat="1" ht="11.25">
      <c r="B70" s="61"/>
      <c r="C70" s="61"/>
      <c r="D70" s="61"/>
    </row>
    <row r="71" spans="2:4" s="14" customFormat="1" ht="11.25">
      <c r="B71" s="61"/>
      <c r="C71" s="61"/>
      <c r="D71" s="61"/>
    </row>
    <row r="72" spans="2:4" s="14" customFormat="1" ht="11.25">
      <c r="B72" s="61"/>
      <c r="C72" s="61"/>
      <c r="D72" s="61"/>
    </row>
    <row r="73" spans="2:4" s="14" customFormat="1" ht="11.25">
      <c r="B73" s="61"/>
      <c r="C73" s="61"/>
      <c r="D73" s="61"/>
    </row>
    <row r="74" spans="2:4" s="14" customFormat="1" ht="11.25">
      <c r="B74" s="61"/>
      <c r="C74" s="61"/>
      <c r="D74" s="61"/>
    </row>
    <row r="75" spans="2:4" s="14" customFormat="1" ht="11.25">
      <c r="B75" s="61"/>
      <c r="C75" s="61"/>
      <c r="D75" s="61"/>
    </row>
    <row r="76" spans="2:4" s="14" customFormat="1" ht="11.25">
      <c r="B76" s="61"/>
      <c r="C76" s="61"/>
      <c r="D76" s="61"/>
    </row>
    <row r="77" spans="2:4" s="14" customFormat="1" ht="11.25">
      <c r="B77" s="61"/>
      <c r="C77" s="61"/>
      <c r="D77" s="61"/>
    </row>
  </sheetData>
  <sheetProtection formatColumns="0" formatRows="0"/>
  <protectedRanges>
    <protectedRange sqref="AJ14:AM20 AJ23:AM23 AJ25:AM25" name="Диапазон1"/>
    <protectedRange sqref="Z27:AC31 AE27:AH31 AE25 AJ27:AM31" name="Диапазон1_1"/>
    <protectedRange sqref="Z25:AC25" name="Диапазон1_1_1"/>
    <protectedRange sqref="AE14:AH20" name="Диапазон1_2"/>
    <protectedRange sqref="AF25:AH25" name="Диапазон1_1_2"/>
  </protectedRanges>
  <mergeCells count="14">
    <mergeCell ref="E1:S2"/>
    <mergeCell ref="J4:N4"/>
    <mergeCell ref="O4:S4"/>
    <mergeCell ref="T4:X4"/>
    <mergeCell ref="AN4:AR4"/>
    <mergeCell ref="Y4:AC4"/>
    <mergeCell ref="AI4:AM4"/>
    <mergeCell ref="Y2:AH2"/>
    <mergeCell ref="A4:A5"/>
    <mergeCell ref="B4:B5"/>
    <mergeCell ref="C4:C5"/>
    <mergeCell ref="D4:D5"/>
    <mergeCell ref="AD4:AH4"/>
    <mergeCell ref="E4:I4"/>
  </mergeCells>
  <dataValidations count="1">
    <dataValidation type="decimal" allowBlank="1" showInputMessage="1" showErrorMessage="1" error="Ввведеное значение неверно" sqref="Z23:AC23 U27:X31 P27:S31 K27:N31 F27:I31 Z14:AC20 U23:X23 P23:S23 K23:N23 F14:I20 U25:X25 U14:X20 P14:S20 K14:N20 F23:I23 AJ25:AM25 P25:S25 K25:N25 F25:I25 Z27:AC31 AE14:AH20 Z25:AC25 AE27:AH31 AE23:AH23 AJ14:AM20 AJ23:AM23 AJ27:AM31 AE25:AH25">
      <formula1>-1000000000000000</formula1>
      <formula2>1000000000000000</formula2>
    </dataValidation>
  </dataValidations>
  <printOptions/>
  <pageMargins left="0.6299212598425197" right="0.2755905511811024" top="0.6299212598425197" bottom="0.4724409448818898" header="0.5118110236220472" footer="0.2755905511811024"/>
  <pageSetup fitToWidth="2" horizontalDpi="600" verticalDpi="600" orientation="landscape" paperSize="9" scale="59" r:id="rId1"/>
  <colBreaks count="1" manualBreakCount="1">
    <brk id="24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1"/>
  <dimension ref="A1:AR77"/>
  <sheetViews>
    <sheetView view="pageBreakPreview" zoomScaleSheetLayoutView="100" zoomScalePageLayoutView="0" workbookViewId="0" topLeftCell="A1">
      <pane xSplit="4" topLeftCell="Z1" activePane="topRight" state="frozen"/>
      <selection pane="topLeft" activeCell="F41" sqref="F41"/>
      <selection pane="topRight" activeCell="AJ21" sqref="AJ21"/>
    </sheetView>
  </sheetViews>
  <sheetFormatPr defaultColWidth="9.140625" defaultRowHeight="11.25"/>
  <cols>
    <col min="1" max="1" width="4.7109375" style="0" customWidth="1"/>
    <col min="2" max="2" width="41.8515625" style="48" customWidth="1"/>
    <col min="3" max="3" width="0" style="48" hidden="1" customWidth="1"/>
    <col min="4" max="4" width="7.421875" style="48" customWidth="1"/>
    <col min="5" max="5" width="10.421875" style="0" customWidth="1"/>
    <col min="6" max="6" width="9.7109375" style="0" customWidth="1"/>
    <col min="7" max="9" width="8.57421875" style="0" customWidth="1"/>
    <col min="10" max="10" width="9.7109375" style="0" customWidth="1"/>
    <col min="11" max="14" width="8.57421875" style="0" customWidth="1"/>
    <col min="15" max="15" width="9.7109375" style="0" customWidth="1"/>
    <col min="16" max="19" width="8.57421875" style="0" customWidth="1"/>
    <col min="20" max="20" width="9.7109375" style="0" customWidth="1"/>
    <col min="21" max="24" width="8.57421875" style="0" customWidth="1"/>
    <col min="25" max="25" width="10.140625" style="0" customWidth="1"/>
    <col min="29" max="29" width="10.7109375" style="0" customWidth="1"/>
    <col min="30" max="30" width="9.8515625" style="0" customWidth="1"/>
    <col min="34" max="34" width="10.7109375" style="0" customWidth="1"/>
    <col min="35" max="35" width="9.28125" style="0" customWidth="1"/>
    <col min="39" max="39" width="10.7109375" style="0" customWidth="1"/>
    <col min="40" max="40" width="7.7109375" style="0" customWidth="1"/>
    <col min="41" max="41" width="6.28125" style="0" customWidth="1"/>
    <col min="42" max="42" width="7.00390625" style="0" customWidth="1"/>
    <col min="43" max="43" width="6.57421875" style="0" customWidth="1"/>
    <col min="44" max="44" width="6.140625" style="0" customWidth="1"/>
  </cols>
  <sheetData>
    <row r="1" spans="1:39" ht="12.75" hidden="1">
      <c r="A1" s="34" t="str">
        <f>Справочники!E13</f>
        <v>Мурманская область</v>
      </c>
      <c r="B1" s="241" t="str">
        <f>Справочники!D21</f>
        <v>МУП "Кировская горэлектросеть"</v>
      </c>
      <c r="C1" s="46"/>
      <c r="D1" s="46"/>
      <c r="E1" s="47"/>
      <c r="F1" s="47"/>
      <c r="G1" s="47"/>
      <c r="H1" s="47"/>
      <c r="I1" s="47"/>
      <c r="J1" s="47"/>
      <c r="K1" s="47"/>
      <c r="L1" s="47"/>
      <c r="M1" s="47"/>
      <c r="N1" s="47"/>
      <c r="AC1" s="2" t="s">
        <v>83</v>
      </c>
      <c r="AH1" s="2" t="s">
        <v>83</v>
      </c>
      <c r="AM1" s="2" t="s">
        <v>83</v>
      </c>
    </row>
    <row r="2" spans="2:39" ht="19.5" customHeight="1">
      <c r="B2" s="615"/>
      <c r="C2" s="615"/>
      <c r="D2" s="615"/>
      <c r="E2" s="785" t="s">
        <v>84</v>
      </c>
      <c r="F2" s="785"/>
      <c r="G2" s="785"/>
      <c r="H2" s="785"/>
      <c r="I2" s="785"/>
      <c r="J2" s="785"/>
      <c r="K2" s="785"/>
      <c r="L2" s="785"/>
      <c r="M2" s="785"/>
      <c r="N2" s="785"/>
      <c r="O2" s="785"/>
      <c r="P2" s="785"/>
      <c r="Q2" s="615"/>
      <c r="R2" s="615"/>
      <c r="S2" s="615"/>
      <c r="U2" s="615"/>
      <c r="V2" s="615"/>
      <c r="W2" s="615"/>
      <c r="X2" s="615"/>
      <c r="Y2" s="785" t="s">
        <v>84</v>
      </c>
      <c r="Z2" s="785"/>
      <c r="AA2" s="785"/>
      <c r="AB2" s="785"/>
      <c r="AC2" s="785"/>
      <c r="AD2" s="785"/>
      <c r="AE2" s="785"/>
      <c r="AF2" s="785"/>
      <c r="AG2" s="785"/>
      <c r="AH2" s="785"/>
      <c r="AI2" s="785"/>
      <c r="AJ2" s="583"/>
      <c r="AK2" s="583"/>
      <c r="AL2" s="583"/>
      <c r="AM2" s="583"/>
    </row>
    <row r="3" spans="29:39" ht="12" thickBot="1">
      <c r="AC3" s="2" t="s">
        <v>85</v>
      </c>
      <c r="AH3" s="2" t="s">
        <v>85</v>
      </c>
      <c r="AM3" s="2" t="s">
        <v>85</v>
      </c>
    </row>
    <row r="4" spans="1:44" ht="18" customHeight="1">
      <c r="A4" s="774" t="s">
        <v>86</v>
      </c>
      <c r="B4" s="786" t="s">
        <v>25</v>
      </c>
      <c r="C4" s="786"/>
      <c r="D4" s="787"/>
      <c r="E4" s="777" t="s">
        <v>1303</v>
      </c>
      <c r="F4" s="773"/>
      <c r="G4" s="773"/>
      <c r="H4" s="773"/>
      <c r="I4" s="778"/>
      <c r="J4" s="777" t="s">
        <v>1304</v>
      </c>
      <c r="K4" s="773"/>
      <c r="L4" s="773"/>
      <c r="M4" s="773"/>
      <c r="N4" s="778"/>
      <c r="O4" s="777" t="s">
        <v>1286</v>
      </c>
      <c r="P4" s="773"/>
      <c r="Q4" s="773"/>
      <c r="R4" s="773"/>
      <c r="S4" s="778"/>
      <c r="T4" s="777" t="s">
        <v>1305</v>
      </c>
      <c r="U4" s="773"/>
      <c r="V4" s="773"/>
      <c r="W4" s="773"/>
      <c r="X4" s="778"/>
      <c r="Y4" s="779" t="s">
        <v>1309</v>
      </c>
      <c r="Z4" s="780"/>
      <c r="AA4" s="780"/>
      <c r="AB4" s="780"/>
      <c r="AC4" s="781"/>
      <c r="AD4" s="779" t="s">
        <v>1310</v>
      </c>
      <c r="AE4" s="780"/>
      <c r="AF4" s="780"/>
      <c r="AG4" s="780"/>
      <c r="AH4" s="781"/>
      <c r="AI4" s="779" t="s">
        <v>1311</v>
      </c>
      <c r="AJ4" s="780"/>
      <c r="AK4" s="780"/>
      <c r="AL4" s="780"/>
      <c r="AM4" s="791"/>
      <c r="AN4" s="788" t="s">
        <v>27</v>
      </c>
      <c r="AO4" s="789"/>
      <c r="AP4" s="789"/>
      <c r="AQ4" s="789"/>
      <c r="AR4" s="790"/>
    </row>
    <row r="5" spans="1:44" ht="11.25">
      <c r="A5" s="774"/>
      <c r="B5" s="786"/>
      <c r="C5" s="786"/>
      <c r="D5" s="787"/>
      <c r="E5" s="9" t="s">
        <v>87</v>
      </c>
      <c r="F5" s="4" t="s">
        <v>28</v>
      </c>
      <c r="G5" s="4" t="s">
        <v>29</v>
      </c>
      <c r="H5" s="4" t="s">
        <v>30</v>
      </c>
      <c r="I5" s="8" t="s">
        <v>31</v>
      </c>
      <c r="J5" s="9" t="s">
        <v>87</v>
      </c>
      <c r="K5" s="4" t="s">
        <v>28</v>
      </c>
      <c r="L5" s="4" t="s">
        <v>29</v>
      </c>
      <c r="M5" s="4" t="s">
        <v>30</v>
      </c>
      <c r="N5" s="8" t="s">
        <v>31</v>
      </c>
      <c r="O5" s="9" t="s">
        <v>87</v>
      </c>
      <c r="P5" s="4" t="s">
        <v>28</v>
      </c>
      <c r="Q5" s="4" t="s">
        <v>29</v>
      </c>
      <c r="R5" s="4" t="s">
        <v>30</v>
      </c>
      <c r="S5" s="8" t="s">
        <v>31</v>
      </c>
      <c r="T5" s="9" t="s">
        <v>87</v>
      </c>
      <c r="U5" s="4" t="s">
        <v>28</v>
      </c>
      <c r="V5" s="4" t="s">
        <v>29</v>
      </c>
      <c r="W5" s="4" t="s">
        <v>30</v>
      </c>
      <c r="X5" s="8" t="s">
        <v>31</v>
      </c>
      <c r="Y5" s="9" t="s">
        <v>87</v>
      </c>
      <c r="Z5" s="4" t="s">
        <v>28</v>
      </c>
      <c r="AA5" s="4" t="s">
        <v>29</v>
      </c>
      <c r="AB5" s="4" t="s">
        <v>30</v>
      </c>
      <c r="AC5" s="8" t="s">
        <v>31</v>
      </c>
      <c r="AD5" s="9" t="s">
        <v>87</v>
      </c>
      <c r="AE5" s="4" t="s">
        <v>28</v>
      </c>
      <c r="AF5" s="4" t="s">
        <v>29</v>
      </c>
      <c r="AG5" s="4" t="s">
        <v>30</v>
      </c>
      <c r="AH5" s="8" t="s">
        <v>31</v>
      </c>
      <c r="AI5" s="9" t="s">
        <v>87</v>
      </c>
      <c r="AJ5" s="4" t="s">
        <v>28</v>
      </c>
      <c r="AK5" s="4" t="s">
        <v>29</v>
      </c>
      <c r="AL5" s="4" t="s">
        <v>30</v>
      </c>
      <c r="AM5" s="38" t="s">
        <v>31</v>
      </c>
      <c r="AN5" s="9" t="s">
        <v>87</v>
      </c>
      <c r="AO5" s="4" t="s">
        <v>28</v>
      </c>
      <c r="AP5" s="4" t="s">
        <v>29</v>
      </c>
      <c r="AQ5" s="4" t="s">
        <v>30</v>
      </c>
      <c r="AR5" s="8" t="s">
        <v>31</v>
      </c>
    </row>
    <row r="6" spans="1:44" ht="11.25" hidden="1">
      <c r="A6" s="4"/>
      <c r="B6" s="162"/>
      <c r="C6" s="162"/>
      <c r="D6" s="336"/>
      <c r="E6" s="9">
        <v>2006</v>
      </c>
      <c r="F6" s="4">
        <v>2006</v>
      </c>
      <c r="G6" s="4">
        <v>2006</v>
      </c>
      <c r="H6" s="4">
        <v>2006</v>
      </c>
      <c r="I6" s="8">
        <v>2006</v>
      </c>
      <c r="J6" s="9">
        <v>2006</v>
      </c>
      <c r="K6" s="4">
        <v>2006</v>
      </c>
      <c r="L6" s="4">
        <v>2006</v>
      </c>
      <c r="M6" s="4">
        <v>2006</v>
      </c>
      <c r="N6" s="8">
        <v>2006</v>
      </c>
      <c r="O6" s="9">
        <v>2007</v>
      </c>
      <c r="P6" s="4">
        <v>2007</v>
      </c>
      <c r="Q6" s="4">
        <v>2007</v>
      </c>
      <c r="R6" s="4">
        <v>2007</v>
      </c>
      <c r="S6" s="8">
        <v>2007</v>
      </c>
      <c r="T6" s="9">
        <v>2007</v>
      </c>
      <c r="U6" s="4">
        <v>2007</v>
      </c>
      <c r="V6" s="4">
        <v>2007</v>
      </c>
      <c r="W6" s="4">
        <v>2007</v>
      </c>
      <c r="X6" s="8">
        <v>2007</v>
      </c>
      <c r="Y6" s="9">
        <v>2008</v>
      </c>
      <c r="Z6" s="4">
        <v>2008</v>
      </c>
      <c r="AA6" s="4">
        <v>2008</v>
      </c>
      <c r="AB6" s="4">
        <v>2008</v>
      </c>
      <c r="AC6" s="8">
        <v>2008</v>
      </c>
      <c r="AD6" s="9">
        <v>2008</v>
      </c>
      <c r="AE6" s="4">
        <v>2008</v>
      </c>
      <c r="AF6" s="4">
        <v>2008</v>
      </c>
      <c r="AG6" s="4">
        <v>2008</v>
      </c>
      <c r="AH6" s="8">
        <v>2008</v>
      </c>
      <c r="AI6" s="9">
        <v>2008</v>
      </c>
      <c r="AJ6" s="4">
        <v>2008</v>
      </c>
      <c r="AK6" s="4">
        <v>2008</v>
      </c>
      <c r="AL6" s="4">
        <v>2008</v>
      </c>
      <c r="AM6" s="38">
        <v>2008</v>
      </c>
      <c r="AN6" s="337" t="s">
        <v>137</v>
      </c>
      <c r="AO6" s="255" t="s">
        <v>137</v>
      </c>
      <c r="AP6" s="255" t="s">
        <v>137</v>
      </c>
      <c r="AQ6" s="255" t="s">
        <v>137</v>
      </c>
      <c r="AR6" s="258" t="s">
        <v>137</v>
      </c>
    </row>
    <row r="7" spans="1:44" ht="11.25" hidden="1">
      <c r="A7" s="4"/>
      <c r="B7" s="162"/>
      <c r="C7" s="162"/>
      <c r="D7" s="336"/>
      <c r="E7" s="9" t="str">
        <f aca="true" t="shared" si="0" ref="E7:AM7">E5</f>
        <v>Всего</v>
      </c>
      <c r="F7" s="4" t="str">
        <f t="shared" si="0"/>
        <v>ВН</v>
      </c>
      <c r="G7" s="4" t="str">
        <f t="shared" si="0"/>
        <v>СН1</v>
      </c>
      <c r="H7" s="4" t="str">
        <f t="shared" si="0"/>
        <v>СН2</v>
      </c>
      <c r="I7" s="8" t="str">
        <f t="shared" si="0"/>
        <v>НН</v>
      </c>
      <c r="J7" s="9" t="str">
        <f t="shared" si="0"/>
        <v>Всего</v>
      </c>
      <c r="K7" s="4" t="str">
        <f t="shared" si="0"/>
        <v>ВН</v>
      </c>
      <c r="L7" s="4" t="str">
        <f t="shared" si="0"/>
        <v>СН1</v>
      </c>
      <c r="M7" s="4" t="str">
        <f t="shared" si="0"/>
        <v>СН2</v>
      </c>
      <c r="N7" s="8" t="str">
        <f t="shared" si="0"/>
        <v>НН</v>
      </c>
      <c r="O7" s="9" t="str">
        <f t="shared" si="0"/>
        <v>Всего</v>
      </c>
      <c r="P7" s="4" t="str">
        <f t="shared" si="0"/>
        <v>ВН</v>
      </c>
      <c r="Q7" s="4" t="str">
        <f t="shared" si="0"/>
        <v>СН1</v>
      </c>
      <c r="R7" s="4" t="str">
        <f t="shared" si="0"/>
        <v>СН2</v>
      </c>
      <c r="S7" s="8" t="str">
        <f t="shared" si="0"/>
        <v>НН</v>
      </c>
      <c r="T7" s="9" t="str">
        <f t="shared" si="0"/>
        <v>Всего</v>
      </c>
      <c r="U7" s="4" t="str">
        <f t="shared" si="0"/>
        <v>ВН</v>
      </c>
      <c r="V7" s="4" t="str">
        <f t="shared" si="0"/>
        <v>СН1</v>
      </c>
      <c r="W7" s="4" t="str">
        <f t="shared" si="0"/>
        <v>СН2</v>
      </c>
      <c r="X7" s="8" t="str">
        <f t="shared" si="0"/>
        <v>НН</v>
      </c>
      <c r="Y7" s="9" t="str">
        <f t="shared" si="0"/>
        <v>Всего</v>
      </c>
      <c r="Z7" s="4" t="str">
        <f t="shared" si="0"/>
        <v>ВН</v>
      </c>
      <c r="AA7" s="4" t="str">
        <f t="shared" si="0"/>
        <v>СН1</v>
      </c>
      <c r="AB7" s="4" t="str">
        <f t="shared" si="0"/>
        <v>СН2</v>
      </c>
      <c r="AC7" s="8" t="str">
        <f t="shared" si="0"/>
        <v>НН</v>
      </c>
      <c r="AD7" s="9" t="str">
        <f t="shared" si="0"/>
        <v>Всего</v>
      </c>
      <c r="AE7" s="4" t="str">
        <f t="shared" si="0"/>
        <v>ВН</v>
      </c>
      <c r="AF7" s="4" t="str">
        <f t="shared" si="0"/>
        <v>СН1</v>
      </c>
      <c r="AG7" s="4" t="str">
        <f t="shared" si="0"/>
        <v>СН2</v>
      </c>
      <c r="AH7" s="8" t="str">
        <f t="shared" si="0"/>
        <v>НН</v>
      </c>
      <c r="AI7" s="9" t="str">
        <f t="shared" si="0"/>
        <v>Всего</v>
      </c>
      <c r="AJ7" s="4" t="str">
        <f t="shared" si="0"/>
        <v>ВН</v>
      </c>
      <c r="AK7" s="4" t="str">
        <f t="shared" si="0"/>
        <v>СН1</v>
      </c>
      <c r="AL7" s="4" t="str">
        <f t="shared" si="0"/>
        <v>СН2</v>
      </c>
      <c r="AM7" s="38" t="str">
        <f t="shared" si="0"/>
        <v>НН</v>
      </c>
      <c r="AN7" s="9" t="str">
        <f>AN5</f>
        <v>Всего</v>
      </c>
      <c r="AO7" s="4" t="str">
        <f>AO5</f>
        <v>ВН</v>
      </c>
      <c r="AP7" s="4" t="str">
        <f>AP5</f>
        <v>СН1</v>
      </c>
      <c r="AQ7" s="4" t="str">
        <f>AQ5</f>
        <v>СН2</v>
      </c>
      <c r="AR7" s="8" t="str">
        <f>AR5</f>
        <v>НН</v>
      </c>
    </row>
    <row r="8" spans="1:44" ht="11.25" hidden="1">
      <c r="A8" s="4"/>
      <c r="B8" s="162"/>
      <c r="C8" s="162"/>
      <c r="D8" s="336"/>
      <c r="E8" s="335" t="s">
        <v>82</v>
      </c>
      <c r="F8" s="254" t="s">
        <v>82</v>
      </c>
      <c r="G8" s="254" t="s">
        <v>82</v>
      </c>
      <c r="H8" s="254" t="s">
        <v>82</v>
      </c>
      <c r="I8" s="298" t="s">
        <v>82</v>
      </c>
      <c r="J8" s="335" t="s">
        <v>81</v>
      </c>
      <c r="K8" s="254" t="s">
        <v>81</v>
      </c>
      <c r="L8" s="254" t="s">
        <v>81</v>
      </c>
      <c r="M8" s="254" t="s">
        <v>81</v>
      </c>
      <c r="N8" s="298" t="s">
        <v>81</v>
      </c>
      <c r="O8" s="335" t="s">
        <v>82</v>
      </c>
      <c r="P8" s="254" t="s">
        <v>82</v>
      </c>
      <c r="Q8" s="254" t="s">
        <v>82</v>
      </c>
      <c r="R8" s="254" t="s">
        <v>82</v>
      </c>
      <c r="S8" s="298" t="s">
        <v>82</v>
      </c>
      <c r="T8" s="335" t="s">
        <v>138</v>
      </c>
      <c r="U8" s="254" t="s">
        <v>138</v>
      </c>
      <c r="V8" s="254" t="s">
        <v>138</v>
      </c>
      <c r="W8" s="254" t="s">
        <v>138</v>
      </c>
      <c r="X8" s="298" t="s">
        <v>138</v>
      </c>
      <c r="Y8" s="335" t="s">
        <v>82</v>
      </c>
      <c r="Z8" s="254" t="s">
        <v>82</v>
      </c>
      <c r="AA8" s="254" t="s">
        <v>82</v>
      </c>
      <c r="AB8" s="254" t="s">
        <v>82</v>
      </c>
      <c r="AC8" s="298" t="s">
        <v>82</v>
      </c>
      <c r="AD8" s="335" t="s">
        <v>82</v>
      </c>
      <c r="AE8" s="254" t="s">
        <v>82</v>
      </c>
      <c r="AF8" s="254" t="s">
        <v>82</v>
      </c>
      <c r="AG8" s="254" t="s">
        <v>82</v>
      </c>
      <c r="AH8" s="298" t="s">
        <v>82</v>
      </c>
      <c r="AI8" s="335" t="s">
        <v>82</v>
      </c>
      <c r="AJ8" s="254" t="s">
        <v>82</v>
      </c>
      <c r="AK8" s="254" t="s">
        <v>82</v>
      </c>
      <c r="AL8" s="254" t="s">
        <v>82</v>
      </c>
      <c r="AM8" s="591" t="s">
        <v>82</v>
      </c>
      <c r="AN8" s="337" t="s">
        <v>137</v>
      </c>
      <c r="AO8" s="255" t="s">
        <v>137</v>
      </c>
      <c r="AP8" s="255" t="s">
        <v>137</v>
      </c>
      <c r="AQ8" s="255" t="s">
        <v>137</v>
      </c>
      <c r="AR8" s="258" t="s">
        <v>137</v>
      </c>
    </row>
    <row r="9" spans="1:44" ht="11.25" hidden="1">
      <c r="A9" s="4"/>
      <c r="B9" s="162"/>
      <c r="C9" s="162"/>
      <c r="D9" s="336"/>
      <c r="E9" s="335" t="s">
        <v>139</v>
      </c>
      <c r="F9" s="254" t="s">
        <v>139</v>
      </c>
      <c r="G9" s="254" t="s">
        <v>139</v>
      </c>
      <c r="H9" s="254" t="s">
        <v>139</v>
      </c>
      <c r="I9" s="298" t="s">
        <v>139</v>
      </c>
      <c r="J9" s="335" t="s">
        <v>139</v>
      </c>
      <c r="K9" s="254" t="s">
        <v>139</v>
      </c>
      <c r="L9" s="254" t="s">
        <v>139</v>
      </c>
      <c r="M9" s="254" t="s">
        <v>139</v>
      </c>
      <c r="N9" s="298" t="s">
        <v>139</v>
      </c>
      <c r="O9" s="335" t="s">
        <v>139</v>
      </c>
      <c r="P9" s="254" t="s">
        <v>139</v>
      </c>
      <c r="Q9" s="254" t="s">
        <v>139</v>
      </c>
      <c r="R9" s="254" t="s">
        <v>139</v>
      </c>
      <c r="S9" s="298" t="s">
        <v>139</v>
      </c>
      <c r="T9" s="335" t="s">
        <v>139</v>
      </c>
      <c r="U9" s="254" t="s">
        <v>139</v>
      </c>
      <c r="V9" s="254" t="s">
        <v>139</v>
      </c>
      <c r="W9" s="254" t="s">
        <v>139</v>
      </c>
      <c r="X9" s="298" t="s">
        <v>139</v>
      </c>
      <c r="Y9" s="335" t="s">
        <v>139</v>
      </c>
      <c r="Z9" s="254" t="s">
        <v>139</v>
      </c>
      <c r="AA9" s="254" t="s">
        <v>139</v>
      </c>
      <c r="AB9" s="254" t="s">
        <v>139</v>
      </c>
      <c r="AC9" s="298" t="s">
        <v>139</v>
      </c>
      <c r="AD9" s="335" t="s">
        <v>139</v>
      </c>
      <c r="AE9" s="254" t="s">
        <v>139</v>
      </c>
      <c r="AF9" s="254" t="s">
        <v>139</v>
      </c>
      <c r="AG9" s="254" t="s">
        <v>139</v>
      </c>
      <c r="AH9" s="298" t="s">
        <v>139</v>
      </c>
      <c r="AI9" s="335" t="s">
        <v>139</v>
      </c>
      <c r="AJ9" s="254" t="s">
        <v>139</v>
      </c>
      <c r="AK9" s="254" t="s">
        <v>139</v>
      </c>
      <c r="AL9" s="254" t="s">
        <v>139</v>
      </c>
      <c r="AM9" s="591" t="s">
        <v>139</v>
      </c>
      <c r="AN9" s="335" t="s">
        <v>139</v>
      </c>
      <c r="AO9" s="254" t="s">
        <v>139</v>
      </c>
      <c r="AP9" s="254" t="s">
        <v>139</v>
      </c>
      <c r="AQ9" s="254" t="s">
        <v>139</v>
      </c>
      <c r="AR9" s="298" t="s">
        <v>139</v>
      </c>
    </row>
    <row r="10" spans="1:44" ht="11.25">
      <c r="A10" s="4">
        <v>1</v>
      </c>
      <c r="B10" s="162">
        <v>2</v>
      </c>
      <c r="C10" s="162"/>
      <c r="D10" s="240"/>
      <c r="E10" s="9">
        <v>3</v>
      </c>
      <c r="F10" s="4">
        <f>E10+1</f>
        <v>4</v>
      </c>
      <c r="G10" s="4">
        <f aca="true" t="shared" si="1" ref="G10:AM10">F10+1</f>
        <v>5</v>
      </c>
      <c r="H10" s="4">
        <f t="shared" si="1"/>
        <v>6</v>
      </c>
      <c r="I10" s="8">
        <f t="shared" si="1"/>
        <v>7</v>
      </c>
      <c r="J10" s="9">
        <f t="shared" si="1"/>
        <v>8</v>
      </c>
      <c r="K10" s="4">
        <f t="shared" si="1"/>
        <v>9</v>
      </c>
      <c r="L10" s="4">
        <f t="shared" si="1"/>
        <v>10</v>
      </c>
      <c r="M10" s="4">
        <f t="shared" si="1"/>
        <v>11</v>
      </c>
      <c r="N10" s="8">
        <f t="shared" si="1"/>
        <v>12</v>
      </c>
      <c r="O10" s="9">
        <f t="shared" si="1"/>
        <v>13</v>
      </c>
      <c r="P10" s="4">
        <f t="shared" si="1"/>
        <v>14</v>
      </c>
      <c r="Q10" s="4">
        <f t="shared" si="1"/>
        <v>15</v>
      </c>
      <c r="R10" s="4">
        <f t="shared" si="1"/>
        <v>16</v>
      </c>
      <c r="S10" s="8">
        <f t="shared" si="1"/>
        <v>17</v>
      </c>
      <c r="T10" s="9">
        <f t="shared" si="1"/>
        <v>18</v>
      </c>
      <c r="U10" s="4">
        <f t="shared" si="1"/>
        <v>19</v>
      </c>
      <c r="V10" s="4">
        <f t="shared" si="1"/>
        <v>20</v>
      </c>
      <c r="W10" s="4">
        <f t="shared" si="1"/>
        <v>21</v>
      </c>
      <c r="X10" s="8">
        <f t="shared" si="1"/>
        <v>22</v>
      </c>
      <c r="Y10" s="9">
        <f t="shared" si="1"/>
        <v>23</v>
      </c>
      <c r="Z10" s="4">
        <f t="shared" si="1"/>
        <v>24</v>
      </c>
      <c r="AA10" s="4">
        <f t="shared" si="1"/>
        <v>25</v>
      </c>
      <c r="AB10" s="4">
        <f t="shared" si="1"/>
        <v>26</v>
      </c>
      <c r="AC10" s="8">
        <f t="shared" si="1"/>
        <v>27</v>
      </c>
      <c r="AD10" s="9">
        <f t="shared" si="1"/>
        <v>28</v>
      </c>
      <c r="AE10" s="4">
        <f t="shared" si="1"/>
        <v>29</v>
      </c>
      <c r="AF10" s="4">
        <f t="shared" si="1"/>
        <v>30</v>
      </c>
      <c r="AG10" s="4">
        <f t="shared" si="1"/>
        <v>31</v>
      </c>
      <c r="AH10" s="8">
        <f t="shared" si="1"/>
        <v>32</v>
      </c>
      <c r="AI10" s="9">
        <f t="shared" si="1"/>
        <v>33</v>
      </c>
      <c r="AJ10" s="4">
        <f t="shared" si="1"/>
        <v>34</v>
      </c>
      <c r="AK10" s="4">
        <f t="shared" si="1"/>
        <v>35</v>
      </c>
      <c r="AL10" s="4">
        <f t="shared" si="1"/>
        <v>36</v>
      </c>
      <c r="AM10" s="38">
        <f t="shared" si="1"/>
        <v>37</v>
      </c>
      <c r="AN10" s="9"/>
      <c r="AO10" s="4"/>
      <c r="AP10" s="4"/>
      <c r="AQ10" s="4"/>
      <c r="AR10" s="8"/>
    </row>
    <row r="11" spans="1:44" ht="11.25">
      <c r="A11" s="57" t="s">
        <v>36</v>
      </c>
      <c r="B11" s="39" t="s">
        <v>88</v>
      </c>
      <c r="C11" s="39" t="s">
        <v>38</v>
      </c>
      <c r="D11" s="41" t="s">
        <v>89</v>
      </c>
      <c r="E11" s="519">
        <f aca="true" t="shared" si="2" ref="E11:AM11">E12+E18+E19+E20</f>
        <v>0</v>
      </c>
      <c r="F11" s="520">
        <f t="shared" si="2"/>
        <v>0</v>
      </c>
      <c r="G11" s="520">
        <f t="shared" si="2"/>
        <v>0</v>
      </c>
      <c r="H11" s="520">
        <f t="shared" si="2"/>
        <v>0</v>
      </c>
      <c r="I11" s="521">
        <f t="shared" si="2"/>
        <v>0</v>
      </c>
      <c r="J11" s="519">
        <f t="shared" si="2"/>
        <v>0</v>
      </c>
      <c r="K11" s="520">
        <f t="shared" si="2"/>
        <v>0</v>
      </c>
      <c r="L11" s="520">
        <f t="shared" si="2"/>
        <v>0</v>
      </c>
      <c r="M11" s="520">
        <f t="shared" si="2"/>
        <v>0</v>
      </c>
      <c r="N11" s="521">
        <f t="shared" si="2"/>
        <v>0</v>
      </c>
      <c r="O11" s="519">
        <f t="shared" si="2"/>
        <v>0</v>
      </c>
      <c r="P11" s="520">
        <f t="shared" si="2"/>
        <v>0</v>
      </c>
      <c r="Q11" s="520">
        <f t="shared" si="2"/>
        <v>0</v>
      </c>
      <c r="R11" s="520">
        <f t="shared" si="2"/>
        <v>0</v>
      </c>
      <c r="S11" s="521">
        <f t="shared" si="2"/>
        <v>0</v>
      </c>
      <c r="T11" s="519">
        <f t="shared" si="2"/>
        <v>0</v>
      </c>
      <c r="U11" s="520">
        <f t="shared" si="2"/>
        <v>0</v>
      </c>
      <c r="V11" s="520">
        <f t="shared" si="2"/>
        <v>0</v>
      </c>
      <c r="W11" s="520">
        <f t="shared" si="2"/>
        <v>0</v>
      </c>
      <c r="X11" s="521">
        <f t="shared" si="2"/>
        <v>0</v>
      </c>
      <c r="Y11" s="519">
        <f t="shared" si="2"/>
        <v>0</v>
      </c>
      <c r="Z11" s="520">
        <f t="shared" si="2"/>
        <v>0</v>
      </c>
      <c r="AA11" s="520">
        <f t="shared" si="2"/>
        <v>0</v>
      </c>
      <c r="AB11" s="520">
        <f t="shared" si="2"/>
        <v>0</v>
      </c>
      <c r="AC11" s="521">
        <f t="shared" si="2"/>
        <v>0</v>
      </c>
      <c r="AD11" s="519">
        <f t="shared" si="2"/>
        <v>0</v>
      </c>
      <c r="AE11" s="520">
        <f t="shared" si="2"/>
        <v>0</v>
      </c>
      <c r="AF11" s="520">
        <f t="shared" si="2"/>
        <v>0</v>
      </c>
      <c r="AG11" s="520">
        <f t="shared" si="2"/>
        <v>0</v>
      </c>
      <c r="AH11" s="521">
        <f t="shared" si="2"/>
        <v>0</v>
      </c>
      <c r="AI11" s="519">
        <f t="shared" si="2"/>
        <v>0</v>
      </c>
      <c r="AJ11" s="520">
        <f t="shared" si="2"/>
        <v>0</v>
      </c>
      <c r="AK11" s="520">
        <f t="shared" si="2"/>
        <v>0</v>
      </c>
      <c r="AL11" s="520">
        <f t="shared" si="2"/>
        <v>0</v>
      </c>
      <c r="AM11" s="586">
        <f t="shared" si="2"/>
        <v>0</v>
      </c>
      <c r="AN11" s="67">
        <f aca="true" t="shared" si="3" ref="AN11:AN31">IF(ISERROR(AI11/O11),0,AI11/O11)</f>
        <v>0</v>
      </c>
      <c r="AO11" s="64">
        <f aca="true" t="shared" si="4" ref="AO11:AR26">IF(ISERROR(AJ11/P11),0,AJ11/P11)</f>
        <v>0</v>
      </c>
      <c r="AP11" s="64">
        <f t="shared" si="4"/>
        <v>0</v>
      </c>
      <c r="AQ11" s="64">
        <f t="shared" si="4"/>
        <v>0</v>
      </c>
      <c r="AR11" s="68">
        <f t="shared" si="4"/>
        <v>0</v>
      </c>
    </row>
    <row r="12" spans="1:44" ht="11.25">
      <c r="A12" s="57" t="s">
        <v>90</v>
      </c>
      <c r="B12" s="39" t="s">
        <v>91</v>
      </c>
      <c r="C12" s="39" t="s">
        <v>41</v>
      </c>
      <c r="D12" s="41" t="s">
        <v>89</v>
      </c>
      <c r="E12" s="522"/>
      <c r="F12" s="520">
        <f>F14+F15+F16+F17</f>
        <v>0</v>
      </c>
      <c r="G12" s="520">
        <f>G14+G15+G16+G17</f>
        <v>0</v>
      </c>
      <c r="H12" s="520">
        <f>H14+H15+H16+H17</f>
        <v>0</v>
      </c>
      <c r="I12" s="521">
        <f>I14+I15+I16+I17</f>
        <v>0</v>
      </c>
      <c r="J12" s="522"/>
      <c r="K12" s="520">
        <f>K14+K15+K16+K17</f>
        <v>0</v>
      </c>
      <c r="L12" s="520">
        <f>L14+L15+L16+L17</f>
        <v>0</v>
      </c>
      <c r="M12" s="520">
        <f>M14+M15+M16+M17</f>
        <v>0</v>
      </c>
      <c r="N12" s="521">
        <f>N14+N15+N16+N17</f>
        <v>0</v>
      </c>
      <c r="O12" s="522"/>
      <c r="P12" s="520">
        <f>P14+P15+P16+P17</f>
        <v>0</v>
      </c>
      <c r="Q12" s="520">
        <f>Q14+Q15+Q16+Q17</f>
        <v>0</v>
      </c>
      <c r="R12" s="520">
        <f>R14+R15+R16+R17</f>
        <v>0</v>
      </c>
      <c r="S12" s="521">
        <f>S14+S15+S16+S17</f>
        <v>0</v>
      </c>
      <c r="T12" s="522"/>
      <c r="U12" s="520">
        <f>U14+U15+U16+U17</f>
        <v>0</v>
      </c>
      <c r="V12" s="520">
        <f>V14+V15+V16+V17</f>
        <v>0</v>
      </c>
      <c r="W12" s="520">
        <f>W14+W15+W16+W17</f>
        <v>0</v>
      </c>
      <c r="X12" s="521">
        <f>X14+X15+X16+X17</f>
        <v>0</v>
      </c>
      <c r="Y12" s="522"/>
      <c r="Z12" s="520">
        <f>Z14+Z15+Z16+Z17</f>
        <v>0</v>
      </c>
      <c r="AA12" s="520">
        <f>AA14+AA15+AA16+AA17</f>
        <v>0</v>
      </c>
      <c r="AB12" s="520">
        <f>AB14+AB15+AB16+AB17</f>
        <v>0</v>
      </c>
      <c r="AC12" s="521">
        <f>AC14+AC15+AC16+AC17</f>
        <v>0</v>
      </c>
      <c r="AD12" s="522"/>
      <c r="AE12" s="520">
        <f>AE14+AE15+AE16+AE17</f>
        <v>0</v>
      </c>
      <c r="AF12" s="520">
        <f>AF14+AF15+AF16+AF17</f>
        <v>0</v>
      </c>
      <c r="AG12" s="520">
        <f>AG14+AG15+AG16+AG17</f>
        <v>0</v>
      </c>
      <c r="AH12" s="521">
        <f>AH14+AH15+AH16+AH17</f>
        <v>0</v>
      </c>
      <c r="AI12" s="522"/>
      <c r="AJ12" s="520">
        <f>AJ14+AJ15+AJ16+AJ17</f>
        <v>0</v>
      </c>
      <c r="AK12" s="520">
        <f>AK14+AK15+AK16+AK17</f>
        <v>0</v>
      </c>
      <c r="AL12" s="520">
        <f>AL14+AL15+AL16+AL17</f>
        <v>0</v>
      </c>
      <c r="AM12" s="586">
        <f>AM14+AM15+AM16+AM17</f>
        <v>0</v>
      </c>
      <c r="AN12" s="67">
        <f t="shared" si="3"/>
        <v>0</v>
      </c>
      <c r="AO12" s="64">
        <f t="shared" si="4"/>
        <v>0</v>
      </c>
      <c r="AP12" s="64">
        <f t="shared" si="4"/>
        <v>0</v>
      </c>
      <c r="AQ12" s="64">
        <f t="shared" si="4"/>
        <v>0</v>
      </c>
      <c r="AR12" s="68">
        <f t="shared" si="4"/>
        <v>0</v>
      </c>
    </row>
    <row r="13" spans="1:44" ht="11.25">
      <c r="A13" s="57"/>
      <c r="B13" s="39" t="s">
        <v>92</v>
      </c>
      <c r="C13" s="39"/>
      <c r="D13" s="41"/>
      <c r="E13" s="523"/>
      <c r="F13" s="524"/>
      <c r="G13" s="524"/>
      <c r="H13" s="524"/>
      <c r="I13" s="525"/>
      <c r="J13" s="523"/>
      <c r="K13" s="524"/>
      <c r="L13" s="524"/>
      <c r="M13" s="524"/>
      <c r="N13" s="525"/>
      <c r="O13" s="523"/>
      <c r="P13" s="524"/>
      <c r="Q13" s="524"/>
      <c r="R13" s="524"/>
      <c r="S13" s="525"/>
      <c r="T13" s="523"/>
      <c r="U13" s="524"/>
      <c r="V13" s="524"/>
      <c r="W13" s="524"/>
      <c r="X13" s="525"/>
      <c r="Y13" s="523"/>
      <c r="Z13" s="524"/>
      <c r="AA13" s="524"/>
      <c r="AB13" s="524"/>
      <c r="AC13" s="525"/>
      <c r="AD13" s="523"/>
      <c r="AE13" s="524"/>
      <c r="AF13" s="524"/>
      <c r="AG13" s="524"/>
      <c r="AH13" s="525"/>
      <c r="AI13" s="523"/>
      <c r="AJ13" s="524"/>
      <c r="AK13" s="524"/>
      <c r="AL13" s="524"/>
      <c r="AM13" s="587"/>
      <c r="AN13" s="67">
        <f t="shared" si="3"/>
        <v>0</v>
      </c>
      <c r="AO13" s="64">
        <f t="shared" si="4"/>
        <v>0</v>
      </c>
      <c r="AP13" s="64">
        <f t="shared" si="4"/>
        <v>0</v>
      </c>
      <c r="AQ13" s="64">
        <f t="shared" si="4"/>
        <v>0</v>
      </c>
      <c r="AR13" s="68">
        <f t="shared" si="4"/>
        <v>0</v>
      </c>
    </row>
    <row r="14" spans="1:44" ht="11.25">
      <c r="A14" s="57"/>
      <c r="B14" s="39" t="s">
        <v>93</v>
      </c>
      <c r="C14" s="39" t="s">
        <v>140</v>
      </c>
      <c r="D14" s="41" t="s">
        <v>89</v>
      </c>
      <c r="E14" s="523"/>
      <c r="F14" s="551"/>
      <c r="G14" s="551"/>
      <c r="H14" s="551"/>
      <c r="I14" s="552"/>
      <c r="J14" s="523"/>
      <c r="K14" s="551"/>
      <c r="L14" s="551"/>
      <c r="M14" s="551"/>
      <c r="N14" s="552"/>
      <c r="O14" s="523"/>
      <c r="P14" s="551"/>
      <c r="Q14" s="551"/>
      <c r="R14" s="551"/>
      <c r="S14" s="552"/>
      <c r="T14" s="523"/>
      <c r="U14" s="551"/>
      <c r="V14" s="551"/>
      <c r="W14" s="551"/>
      <c r="X14" s="552"/>
      <c r="Y14" s="523"/>
      <c r="Z14" s="526"/>
      <c r="AA14" s="526"/>
      <c r="AB14" s="526"/>
      <c r="AC14" s="527"/>
      <c r="AD14" s="523"/>
      <c r="AE14" s="526"/>
      <c r="AF14" s="526"/>
      <c r="AG14" s="526"/>
      <c r="AH14" s="527"/>
      <c r="AI14" s="523"/>
      <c r="AJ14" s="616">
        <f>Z14+AE14</f>
        <v>0</v>
      </c>
      <c r="AK14" s="616">
        <f aca="true" t="shared" si="5" ref="AK14:AM20">AA14+AF14</f>
        <v>0</v>
      </c>
      <c r="AL14" s="616">
        <f t="shared" si="5"/>
        <v>0</v>
      </c>
      <c r="AM14" s="616">
        <f t="shared" si="5"/>
        <v>0</v>
      </c>
      <c r="AN14" s="67">
        <f t="shared" si="3"/>
        <v>0</v>
      </c>
      <c r="AO14" s="64">
        <f t="shared" si="4"/>
        <v>0</v>
      </c>
      <c r="AP14" s="64">
        <f t="shared" si="4"/>
        <v>0</v>
      </c>
      <c r="AQ14" s="64">
        <f t="shared" si="4"/>
        <v>0</v>
      </c>
      <c r="AR14" s="68">
        <f t="shared" si="4"/>
        <v>0</v>
      </c>
    </row>
    <row r="15" spans="1:44" ht="11.25">
      <c r="A15" s="57"/>
      <c r="B15" s="39" t="s">
        <v>28</v>
      </c>
      <c r="C15" s="39" t="s">
        <v>141</v>
      </c>
      <c r="D15" s="41" t="s">
        <v>89</v>
      </c>
      <c r="E15" s="523"/>
      <c r="F15" s="553"/>
      <c r="G15" s="553"/>
      <c r="H15" s="553"/>
      <c r="I15" s="554"/>
      <c r="J15" s="523"/>
      <c r="K15" s="553"/>
      <c r="L15" s="553"/>
      <c r="M15" s="553"/>
      <c r="N15" s="554"/>
      <c r="O15" s="523"/>
      <c r="P15" s="553"/>
      <c r="Q15" s="553"/>
      <c r="R15" s="553"/>
      <c r="S15" s="554"/>
      <c r="T15" s="523"/>
      <c r="U15" s="553"/>
      <c r="V15" s="553"/>
      <c r="W15" s="553"/>
      <c r="X15" s="554"/>
      <c r="Y15" s="523"/>
      <c r="Z15" s="528"/>
      <c r="AA15" s="528"/>
      <c r="AB15" s="528"/>
      <c r="AC15" s="529"/>
      <c r="AD15" s="523"/>
      <c r="AE15" s="528"/>
      <c r="AF15" s="528"/>
      <c r="AG15" s="528"/>
      <c r="AH15" s="529"/>
      <c r="AI15" s="523"/>
      <c r="AJ15" s="616">
        <f aca="true" t="shared" si="6" ref="AJ15:AJ20">Z15+AE15</f>
        <v>0</v>
      </c>
      <c r="AK15" s="616">
        <f t="shared" si="5"/>
        <v>0</v>
      </c>
      <c r="AL15" s="616">
        <f t="shared" si="5"/>
        <v>0</v>
      </c>
      <c r="AM15" s="616">
        <f t="shared" si="5"/>
        <v>0</v>
      </c>
      <c r="AN15" s="67">
        <f t="shared" si="3"/>
        <v>0</v>
      </c>
      <c r="AO15" s="64">
        <f t="shared" si="4"/>
        <v>0</v>
      </c>
      <c r="AP15" s="64">
        <f t="shared" si="4"/>
        <v>0</v>
      </c>
      <c r="AQ15" s="64">
        <f t="shared" si="4"/>
        <v>0</v>
      </c>
      <c r="AR15" s="68">
        <f t="shared" si="4"/>
        <v>0</v>
      </c>
    </row>
    <row r="16" spans="1:44" ht="11.25">
      <c r="A16" s="57"/>
      <c r="B16" s="39" t="s">
        <v>29</v>
      </c>
      <c r="C16" s="39" t="s">
        <v>142</v>
      </c>
      <c r="D16" s="41" t="s">
        <v>89</v>
      </c>
      <c r="E16" s="523"/>
      <c r="F16" s="553"/>
      <c r="G16" s="553"/>
      <c r="H16" s="553"/>
      <c r="I16" s="554"/>
      <c r="J16" s="523"/>
      <c r="K16" s="553"/>
      <c r="L16" s="553"/>
      <c r="M16" s="553"/>
      <c r="N16" s="554"/>
      <c r="O16" s="523"/>
      <c r="P16" s="553"/>
      <c r="Q16" s="553"/>
      <c r="R16" s="553"/>
      <c r="S16" s="554"/>
      <c r="T16" s="523"/>
      <c r="U16" s="553"/>
      <c r="V16" s="553"/>
      <c r="W16" s="553"/>
      <c r="X16" s="554"/>
      <c r="Y16" s="523"/>
      <c r="Z16" s="528"/>
      <c r="AA16" s="528"/>
      <c r="AB16" s="528"/>
      <c r="AC16" s="529"/>
      <c r="AD16" s="523"/>
      <c r="AE16" s="528"/>
      <c r="AF16" s="528"/>
      <c r="AG16" s="528"/>
      <c r="AH16" s="529"/>
      <c r="AI16" s="523"/>
      <c r="AJ16" s="616">
        <f t="shared" si="6"/>
        <v>0</v>
      </c>
      <c r="AK16" s="616">
        <f t="shared" si="5"/>
        <v>0</v>
      </c>
      <c r="AL16" s="616">
        <f t="shared" si="5"/>
        <v>0</v>
      </c>
      <c r="AM16" s="616">
        <f t="shared" si="5"/>
        <v>0</v>
      </c>
      <c r="AN16" s="67">
        <f t="shared" si="3"/>
        <v>0</v>
      </c>
      <c r="AO16" s="64">
        <f t="shared" si="4"/>
        <v>0</v>
      </c>
      <c r="AP16" s="64">
        <f t="shared" si="4"/>
        <v>0</v>
      </c>
      <c r="AQ16" s="64">
        <f t="shared" si="4"/>
        <v>0</v>
      </c>
      <c r="AR16" s="68">
        <f t="shared" si="4"/>
        <v>0</v>
      </c>
    </row>
    <row r="17" spans="1:44" ht="11.25">
      <c r="A17" s="57"/>
      <c r="B17" s="39" t="s">
        <v>30</v>
      </c>
      <c r="C17" s="39" t="s">
        <v>143</v>
      </c>
      <c r="D17" s="41" t="s">
        <v>89</v>
      </c>
      <c r="E17" s="523"/>
      <c r="F17" s="553"/>
      <c r="G17" s="553"/>
      <c r="H17" s="553"/>
      <c r="I17" s="554"/>
      <c r="J17" s="523"/>
      <c r="K17" s="553"/>
      <c r="L17" s="553"/>
      <c r="M17" s="553"/>
      <c r="N17" s="554"/>
      <c r="O17" s="523"/>
      <c r="P17" s="553"/>
      <c r="Q17" s="553"/>
      <c r="R17" s="553"/>
      <c r="S17" s="554"/>
      <c r="T17" s="523"/>
      <c r="U17" s="553"/>
      <c r="V17" s="553"/>
      <c r="W17" s="553"/>
      <c r="X17" s="554"/>
      <c r="Y17" s="523"/>
      <c r="Z17" s="528"/>
      <c r="AA17" s="528"/>
      <c r="AB17" s="528"/>
      <c r="AC17" s="529"/>
      <c r="AD17" s="523"/>
      <c r="AE17" s="528"/>
      <c r="AF17" s="528"/>
      <c r="AG17" s="528"/>
      <c r="AH17" s="529"/>
      <c r="AI17" s="523"/>
      <c r="AJ17" s="616">
        <f t="shared" si="6"/>
        <v>0</v>
      </c>
      <c r="AK17" s="616">
        <f t="shared" si="5"/>
        <v>0</v>
      </c>
      <c r="AL17" s="616">
        <f t="shared" si="5"/>
        <v>0</v>
      </c>
      <c r="AM17" s="616">
        <f t="shared" si="5"/>
        <v>0</v>
      </c>
      <c r="AN17" s="67">
        <f t="shared" si="3"/>
        <v>0</v>
      </c>
      <c r="AO17" s="64">
        <f t="shared" si="4"/>
        <v>0</v>
      </c>
      <c r="AP17" s="64">
        <f t="shared" si="4"/>
        <v>0</v>
      </c>
      <c r="AQ17" s="64">
        <f t="shared" si="4"/>
        <v>0</v>
      </c>
      <c r="AR17" s="68">
        <f t="shared" si="4"/>
        <v>0</v>
      </c>
    </row>
    <row r="18" spans="1:44" ht="11.25">
      <c r="A18" s="57" t="s">
        <v>94</v>
      </c>
      <c r="B18" s="39" t="s">
        <v>95</v>
      </c>
      <c r="C18" s="39" t="s">
        <v>44</v>
      </c>
      <c r="D18" s="41" t="s">
        <v>89</v>
      </c>
      <c r="E18" s="519">
        <f>SUM(F18:I18)</f>
        <v>0</v>
      </c>
      <c r="F18" s="553"/>
      <c r="G18" s="553"/>
      <c r="H18" s="553"/>
      <c r="I18" s="554"/>
      <c r="J18" s="519">
        <f>SUM(K18:N18)</f>
        <v>0</v>
      </c>
      <c r="K18" s="553"/>
      <c r="L18" s="553"/>
      <c r="M18" s="553"/>
      <c r="N18" s="554"/>
      <c r="O18" s="519">
        <f>SUM(P18:S18)</f>
        <v>0</v>
      </c>
      <c r="P18" s="553"/>
      <c r="Q18" s="553"/>
      <c r="R18" s="553"/>
      <c r="S18" s="554"/>
      <c r="T18" s="519">
        <f>SUM(U18:X18)</f>
        <v>0</v>
      </c>
      <c r="U18" s="553"/>
      <c r="V18" s="553"/>
      <c r="W18" s="553"/>
      <c r="X18" s="554"/>
      <c r="Y18" s="519">
        <f>SUM(Z18:AC18)</f>
        <v>0</v>
      </c>
      <c r="Z18" s="528"/>
      <c r="AA18" s="528"/>
      <c r="AB18" s="528"/>
      <c r="AC18" s="529"/>
      <c r="AD18" s="519">
        <f>SUM(AE18:AH18)</f>
        <v>0</v>
      </c>
      <c r="AE18" s="528"/>
      <c r="AF18" s="528"/>
      <c r="AG18" s="528"/>
      <c r="AH18" s="529"/>
      <c r="AI18" s="519">
        <f>SUM(AJ18:AM18)</f>
        <v>0</v>
      </c>
      <c r="AJ18" s="616">
        <f t="shared" si="6"/>
        <v>0</v>
      </c>
      <c r="AK18" s="616">
        <f t="shared" si="5"/>
        <v>0</v>
      </c>
      <c r="AL18" s="616">
        <f t="shared" si="5"/>
        <v>0</v>
      </c>
      <c r="AM18" s="616">
        <f t="shared" si="5"/>
        <v>0</v>
      </c>
      <c r="AN18" s="67">
        <f t="shared" si="3"/>
        <v>0</v>
      </c>
      <c r="AO18" s="64">
        <f t="shared" si="4"/>
        <v>0</v>
      </c>
      <c r="AP18" s="64">
        <f t="shared" si="4"/>
        <v>0</v>
      </c>
      <c r="AQ18" s="64">
        <f t="shared" si="4"/>
        <v>0</v>
      </c>
      <c r="AR18" s="68">
        <f t="shared" si="4"/>
        <v>0</v>
      </c>
    </row>
    <row r="19" spans="1:44" ht="17.25" customHeight="1">
      <c r="A19" s="57" t="s">
        <v>96</v>
      </c>
      <c r="B19" s="39" t="s">
        <v>97</v>
      </c>
      <c r="C19" s="39" t="s">
        <v>47</v>
      </c>
      <c r="D19" s="41" t="s">
        <v>89</v>
      </c>
      <c r="E19" s="519">
        <f>SUM(F19:I19)</f>
        <v>0</v>
      </c>
      <c r="F19" s="553"/>
      <c r="G19" s="553"/>
      <c r="H19" s="553"/>
      <c r="I19" s="554"/>
      <c r="J19" s="519">
        <f>SUM(K19:N19)</f>
        <v>0</v>
      </c>
      <c r="K19" s="553"/>
      <c r="L19" s="553"/>
      <c r="M19" s="553"/>
      <c r="N19" s="554"/>
      <c r="O19" s="519">
        <f>SUM(P19:S19)</f>
        <v>0</v>
      </c>
      <c r="P19" s="553"/>
      <c r="Q19" s="553"/>
      <c r="R19" s="553"/>
      <c r="S19" s="554"/>
      <c r="T19" s="519">
        <f>SUM(U19:X19)</f>
        <v>0</v>
      </c>
      <c r="U19" s="553"/>
      <c r="V19" s="553"/>
      <c r="W19" s="553"/>
      <c r="X19" s="554"/>
      <c r="Y19" s="519">
        <f>SUM(Z19:AC19)</f>
        <v>0</v>
      </c>
      <c r="Z19" s="528"/>
      <c r="AA19" s="528"/>
      <c r="AB19" s="528"/>
      <c r="AC19" s="529"/>
      <c r="AD19" s="519">
        <f>SUM(AE19:AH19)</f>
        <v>0</v>
      </c>
      <c r="AE19" s="528"/>
      <c r="AF19" s="528"/>
      <c r="AG19" s="528"/>
      <c r="AH19" s="529"/>
      <c r="AI19" s="519">
        <f>SUM(AJ19:AM19)</f>
        <v>0</v>
      </c>
      <c r="AJ19" s="616">
        <f t="shared" si="6"/>
        <v>0</v>
      </c>
      <c r="AK19" s="616">
        <f t="shared" si="5"/>
        <v>0</v>
      </c>
      <c r="AL19" s="616">
        <f t="shared" si="5"/>
        <v>0</v>
      </c>
      <c r="AM19" s="616">
        <f t="shared" si="5"/>
        <v>0</v>
      </c>
      <c r="AN19" s="67">
        <f t="shared" si="3"/>
        <v>0</v>
      </c>
      <c r="AO19" s="64">
        <f t="shared" si="4"/>
        <v>0</v>
      </c>
      <c r="AP19" s="64">
        <f t="shared" si="4"/>
        <v>0</v>
      </c>
      <c r="AQ19" s="64">
        <f t="shared" si="4"/>
        <v>0</v>
      </c>
      <c r="AR19" s="68">
        <f t="shared" si="4"/>
        <v>0</v>
      </c>
    </row>
    <row r="20" spans="1:44" ht="11.25">
      <c r="A20" s="57" t="s">
        <v>98</v>
      </c>
      <c r="B20" s="39" t="s">
        <v>99</v>
      </c>
      <c r="C20" s="39" t="s">
        <v>50</v>
      </c>
      <c r="D20" s="41" t="s">
        <v>89</v>
      </c>
      <c r="E20" s="519">
        <f>SUM(F20:I20)</f>
        <v>0</v>
      </c>
      <c r="F20" s="553"/>
      <c r="G20" s="553"/>
      <c r="H20" s="553"/>
      <c r="I20" s="554"/>
      <c r="J20" s="519">
        <f>SUM(K20:N20)</f>
        <v>0</v>
      </c>
      <c r="K20" s="553"/>
      <c r="L20" s="553"/>
      <c r="M20" s="553"/>
      <c r="N20" s="554"/>
      <c r="O20" s="519">
        <f>SUM(P20:S20)</f>
        <v>0</v>
      </c>
      <c r="P20" s="553"/>
      <c r="Q20" s="553"/>
      <c r="R20" s="553"/>
      <c r="S20" s="554"/>
      <c r="T20" s="519">
        <f>SUM(U20:X20)</f>
        <v>0</v>
      </c>
      <c r="U20" s="553"/>
      <c r="V20" s="553"/>
      <c r="W20" s="553"/>
      <c r="X20" s="554"/>
      <c r="Y20" s="519">
        <f>SUM(Z20:AC20)</f>
        <v>0</v>
      </c>
      <c r="Z20" s="528"/>
      <c r="AA20" s="528"/>
      <c r="AB20" s="528"/>
      <c r="AC20" s="529"/>
      <c r="AD20" s="519">
        <f>SUM(AE20:AH20)</f>
        <v>0</v>
      </c>
      <c r="AE20" s="528"/>
      <c r="AF20" s="528"/>
      <c r="AG20" s="528"/>
      <c r="AH20" s="529"/>
      <c r="AI20" s="519">
        <f>SUM(AJ20:AM20)</f>
        <v>0</v>
      </c>
      <c r="AJ20" s="616">
        <f t="shared" si="6"/>
        <v>0</v>
      </c>
      <c r="AK20" s="616">
        <f t="shared" si="5"/>
        <v>0</v>
      </c>
      <c r="AL20" s="616">
        <f t="shared" si="5"/>
        <v>0</v>
      </c>
      <c r="AM20" s="616">
        <f t="shared" si="5"/>
        <v>0</v>
      </c>
      <c r="AN20" s="67">
        <f t="shared" si="3"/>
        <v>0</v>
      </c>
      <c r="AO20" s="64">
        <f t="shared" si="4"/>
        <v>0</v>
      </c>
      <c r="AP20" s="64">
        <f t="shared" si="4"/>
        <v>0</v>
      </c>
      <c r="AQ20" s="64">
        <f t="shared" si="4"/>
        <v>0</v>
      </c>
      <c r="AR20" s="68">
        <f t="shared" si="4"/>
        <v>0</v>
      </c>
    </row>
    <row r="21" spans="1:44" ht="11.25">
      <c r="A21" s="57" t="s">
        <v>69</v>
      </c>
      <c r="B21" s="39" t="s">
        <v>100</v>
      </c>
      <c r="C21" s="39" t="s">
        <v>71</v>
      </c>
      <c r="D21" s="41" t="s">
        <v>89</v>
      </c>
      <c r="E21" s="519">
        <f>SUM(F21:I21)</f>
        <v>0</v>
      </c>
      <c r="F21" s="530">
        <f>'3 сторонние'!E21</f>
        <v>0</v>
      </c>
      <c r="G21" s="530">
        <f>'3 сторонние'!F21</f>
        <v>0</v>
      </c>
      <c r="H21" s="530">
        <f>'3 сторонние'!G21</f>
        <v>0</v>
      </c>
      <c r="I21" s="530">
        <f>'3 сторонние'!H21</f>
        <v>0</v>
      </c>
      <c r="J21" s="519">
        <f>SUM(K21:N21)</f>
        <v>0</v>
      </c>
      <c r="K21" s="530">
        <f>'3 сторонние'!I21</f>
        <v>0</v>
      </c>
      <c r="L21" s="530">
        <f>'3 сторонние'!J21</f>
        <v>0</v>
      </c>
      <c r="M21" s="530">
        <f>'3 сторонние'!K21</f>
        <v>0</v>
      </c>
      <c r="N21" s="530">
        <f>'3 сторонние'!L21</f>
        <v>0</v>
      </c>
      <c r="O21" s="519">
        <f>SUM(P21:S21)</f>
        <v>0</v>
      </c>
      <c r="P21" s="530">
        <f>'3 сторонние'!M21</f>
        <v>0</v>
      </c>
      <c r="Q21" s="530">
        <f>'3 сторонние'!N21</f>
        <v>0</v>
      </c>
      <c r="R21" s="530">
        <f>'3 сторонние'!O21</f>
        <v>0</v>
      </c>
      <c r="S21" s="530">
        <f>'3 сторонние'!P21</f>
        <v>0</v>
      </c>
      <c r="T21" s="519">
        <f>SUM(U21:X21)</f>
        <v>0</v>
      </c>
      <c r="U21" s="530">
        <f>'3 сторонние'!Q21</f>
        <v>0</v>
      </c>
      <c r="V21" s="530">
        <f>'3 сторонние'!R21</f>
        <v>0</v>
      </c>
      <c r="W21" s="530">
        <f>'3 сторонние'!S21</f>
        <v>0</v>
      </c>
      <c r="X21" s="530">
        <f>'3 сторонние'!T21</f>
        <v>0</v>
      </c>
      <c r="Y21" s="519">
        <f>SUM(Z21:AC21)</f>
        <v>0</v>
      </c>
      <c r="Z21" s="530">
        <f>'3 сторонние'!U21</f>
        <v>0</v>
      </c>
      <c r="AA21" s="530">
        <f>'3 сторонние'!V21</f>
        <v>0</v>
      </c>
      <c r="AB21" s="530">
        <f>'3 сторонние'!W21</f>
        <v>0</v>
      </c>
      <c r="AC21" s="530">
        <f>'3 сторонние'!X21</f>
        <v>0</v>
      </c>
      <c r="AD21" s="519">
        <f>SUM(AE21:AH21)</f>
        <v>0</v>
      </c>
      <c r="AE21" s="530">
        <f>'3 сторонние'!Y21</f>
        <v>0</v>
      </c>
      <c r="AF21" s="530">
        <f>'3 сторонние'!Z21</f>
        <v>0</v>
      </c>
      <c r="AG21" s="530">
        <f>'3 сторонние'!AA21</f>
        <v>0</v>
      </c>
      <c r="AH21" s="530">
        <f>'3 сторонние'!AB21</f>
        <v>0</v>
      </c>
      <c r="AI21" s="519">
        <f>SUM(AJ21:AM21)</f>
        <v>0</v>
      </c>
      <c r="AJ21" s="530">
        <f>'3 сторонние'!AC21</f>
        <v>0</v>
      </c>
      <c r="AK21" s="530">
        <f>'3 сторонние'!AD21</f>
        <v>0</v>
      </c>
      <c r="AL21" s="530">
        <f>'3 сторонние'!AE21</f>
        <v>0</v>
      </c>
      <c r="AM21" s="530">
        <f>'3 сторонние'!AF21</f>
        <v>0</v>
      </c>
      <c r="AN21" s="67">
        <f t="shared" si="3"/>
        <v>0</v>
      </c>
      <c r="AO21" s="64">
        <f t="shared" si="4"/>
        <v>0</v>
      </c>
      <c r="AP21" s="64">
        <f t="shared" si="4"/>
        <v>0</v>
      </c>
      <c r="AQ21" s="64">
        <f t="shared" si="4"/>
        <v>0</v>
      </c>
      <c r="AR21" s="68">
        <f t="shared" si="4"/>
        <v>0</v>
      </c>
    </row>
    <row r="22" spans="1:44" ht="11.25">
      <c r="A22" s="57"/>
      <c r="B22" s="39" t="s">
        <v>101</v>
      </c>
      <c r="C22" s="39" t="s">
        <v>74</v>
      </c>
      <c r="D22" s="41" t="s">
        <v>102</v>
      </c>
      <c r="E22" s="519">
        <f aca="true" t="shared" si="7" ref="E22:AB22">IF(E11=0,0,E21/E11*100)</f>
        <v>0</v>
      </c>
      <c r="F22" s="520">
        <f t="shared" si="7"/>
        <v>0</v>
      </c>
      <c r="G22" s="520">
        <f t="shared" si="7"/>
        <v>0</v>
      </c>
      <c r="H22" s="520">
        <f t="shared" si="7"/>
        <v>0</v>
      </c>
      <c r="I22" s="521">
        <f t="shared" si="7"/>
        <v>0</v>
      </c>
      <c r="J22" s="519">
        <f t="shared" si="7"/>
        <v>0</v>
      </c>
      <c r="K22" s="520">
        <f t="shared" si="7"/>
        <v>0</v>
      </c>
      <c r="L22" s="520">
        <f t="shared" si="7"/>
        <v>0</v>
      </c>
      <c r="M22" s="520">
        <f t="shared" si="7"/>
        <v>0</v>
      </c>
      <c r="N22" s="521">
        <f t="shared" si="7"/>
        <v>0</v>
      </c>
      <c r="O22" s="519">
        <f t="shared" si="7"/>
        <v>0</v>
      </c>
      <c r="P22" s="520">
        <f t="shared" si="7"/>
        <v>0</v>
      </c>
      <c r="Q22" s="520">
        <f t="shared" si="7"/>
        <v>0</v>
      </c>
      <c r="R22" s="520">
        <f t="shared" si="7"/>
        <v>0</v>
      </c>
      <c r="S22" s="521">
        <f t="shared" si="7"/>
        <v>0</v>
      </c>
      <c r="T22" s="519">
        <f t="shared" si="7"/>
        <v>0</v>
      </c>
      <c r="U22" s="520">
        <f t="shared" si="7"/>
        <v>0</v>
      </c>
      <c r="V22" s="520">
        <f t="shared" si="7"/>
        <v>0</v>
      </c>
      <c r="W22" s="520">
        <f t="shared" si="7"/>
        <v>0</v>
      </c>
      <c r="X22" s="521">
        <f t="shared" si="7"/>
        <v>0</v>
      </c>
      <c r="Y22" s="519">
        <f t="shared" si="7"/>
        <v>0</v>
      </c>
      <c r="Z22" s="520">
        <f t="shared" si="7"/>
        <v>0</v>
      </c>
      <c r="AA22" s="520">
        <f t="shared" si="7"/>
        <v>0</v>
      </c>
      <c r="AB22" s="520">
        <f t="shared" si="7"/>
        <v>0</v>
      </c>
      <c r="AC22" s="521">
        <f aca="true" t="shared" si="8" ref="AC22:AM22">IF(AC11=0,0,AC21/AC11*100)</f>
        <v>0</v>
      </c>
      <c r="AD22" s="519">
        <f t="shared" si="8"/>
        <v>0</v>
      </c>
      <c r="AE22" s="520">
        <f t="shared" si="8"/>
        <v>0</v>
      </c>
      <c r="AF22" s="520">
        <f t="shared" si="8"/>
        <v>0</v>
      </c>
      <c r="AG22" s="520">
        <f t="shared" si="8"/>
        <v>0</v>
      </c>
      <c r="AH22" s="521">
        <f t="shared" si="8"/>
        <v>0</v>
      </c>
      <c r="AI22" s="519">
        <f t="shared" si="8"/>
        <v>0</v>
      </c>
      <c r="AJ22" s="520">
        <f t="shared" si="8"/>
        <v>0</v>
      </c>
      <c r="AK22" s="520">
        <f t="shared" si="8"/>
        <v>0</v>
      </c>
      <c r="AL22" s="520">
        <f t="shared" si="8"/>
        <v>0</v>
      </c>
      <c r="AM22" s="586">
        <f t="shared" si="8"/>
        <v>0</v>
      </c>
      <c r="AN22" s="67">
        <f t="shared" si="3"/>
        <v>0</v>
      </c>
      <c r="AO22" s="64">
        <f t="shared" si="4"/>
        <v>0</v>
      </c>
      <c r="AP22" s="64">
        <f t="shared" si="4"/>
        <v>0</v>
      </c>
      <c r="AQ22" s="64">
        <f t="shared" si="4"/>
        <v>0</v>
      </c>
      <c r="AR22" s="68">
        <f t="shared" si="4"/>
        <v>0</v>
      </c>
    </row>
    <row r="23" spans="1:44" ht="11.25">
      <c r="A23" s="57" t="s">
        <v>75</v>
      </c>
      <c r="B23" s="39" t="s">
        <v>103</v>
      </c>
      <c r="C23" s="39" t="s">
        <v>77</v>
      </c>
      <c r="D23" s="41" t="s">
        <v>89</v>
      </c>
      <c r="E23" s="519">
        <f>SUM(F23:I23)</f>
        <v>0</v>
      </c>
      <c r="F23" s="531"/>
      <c r="G23" s="531"/>
      <c r="H23" s="531"/>
      <c r="I23" s="532"/>
      <c r="J23" s="519">
        <f>SUM(K23:N23)</f>
        <v>0</v>
      </c>
      <c r="K23" s="531"/>
      <c r="L23" s="531"/>
      <c r="M23" s="531"/>
      <c r="N23" s="532"/>
      <c r="O23" s="519">
        <f>SUM(P23:S23)</f>
        <v>0</v>
      </c>
      <c r="P23" s="531"/>
      <c r="Q23" s="531"/>
      <c r="R23" s="531"/>
      <c r="S23" s="532"/>
      <c r="T23" s="519">
        <f>SUM(U23:X23)</f>
        <v>0</v>
      </c>
      <c r="U23" s="531"/>
      <c r="V23" s="531"/>
      <c r="W23" s="531"/>
      <c r="X23" s="532"/>
      <c r="Y23" s="519">
        <f>SUM(Z23:AC23)</f>
        <v>0</v>
      </c>
      <c r="Z23" s="531"/>
      <c r="AA23" s="531"/>
      <c r="AB23" s="531"/>
      <c r="AC23" s="532"/>
      <c r="AD23" s="519">
        <f>SUM(AE23:AH23)</f>
        <v>0</v>
      </c>
      <c r="AE23" s="531"/>
      <c r="AF23" s="531"/>
      <c r="AG23" s="531"/>
      <c r="AH23" s="532"/>
      <c r="AI23" s="519">
        <f>SUM(AJ23:AM23)</f>
        <v>0</v>
      </c>
      <c r="AJ23" s="616">
        <f>Z23+AE23</f>
        <v>0</v>
      </c>
      <c r="AK23" s="616">
        <f>AA23+AF23</f>
        <v>0</v>
      </c>
      <c r="AL23" s="616">
        <f>AB23+AG23</f>
        <v>0</v>
      </c>
      <c r="AM23" s="616">
        <f>AC23+AH23</f>
        <v>0</v>
      </c>
      <c r="AN23" s="67">
        <f t="shared" si="3"/>
        <v>0</v>
      </c>
      <c r="AO23" s="64">
        <f t="shared" si="4"/>
        <v>0</v>
      </c>
      <c r="AP23" s="64">
        <f t="shared" si="4"/>
        <v>0</v>
      </c>
      <c r="AQ23" s="64">
        <f t="shared" si="4"/>
        <v>0</v>
      </c>
      <c r="AR23" s="68">
        <f t="shared" si="4"/>
        <v>0</v>
      </c>
    </row>
    <row r="24" spans="1:44" ht="11.25">
      <c r="A24" s="57" t="s">
        <v>78</v>
      </c>
      <c r="B24" s="39" t="s">
        <v>104</v>
      </c>
      <c r="C24" s="39" t="s">
        <v>80</v>
      </c>
      <c r="D24" s="41" t="s">
        <v>89</v>
      </c>
      <c r="E24" s="522"/>
      <c r="F24" s="520">
        <f>F11-F21-F23</f>
        <v>0</v>
      </c>
      <c r="G24" s="520">
        <f>G11-G21-G23</f>
        <v>0</v>
      </c>
      <c r="H24" s="520">
        <f>H11-H21-H23</f>
        <v>0</v>
      </c>
      <c r="I24" s="521">
        <f>I11-I21-I23</f>
        <v>0</v>
      </c>
      <c r="J24" s="522"/>
      <c r="K24" s="520">
        <f>K11-K21-K23</f>
        <v>0</v>
      </c>
      <c r="L24" s="520">
        <f>L11-L21-L23</f>
        <v>0</v>
      </c>
      <c r="M24" s="520">
        <f>M11-M21-M23</f>
        <v>0</v>
      </c>
      <c r="N24" s="521">
        <f>N11-N21-N23</f>
        <v>0</v>
      </c>
      <c r="O24" s="522"/>
      <c r="P24" s="520">
        <f>P11-P21-P23</f>
        <v>0</v>
      </c>
      <c r="Q24" s="520">
        <f>Q11-Q21-Q23</f>
        <v>0</v>
      </c>
      <c r="R24" s="520">
        <f>R11-R21-R23</f>
        <v>0</v>
      </c>
      <c r="S24" s="521">
        <f>S11-S21-S23</f>
        <v>0</v>
      </c>
      <c r="T24" s="522"/>
      <c r="U24" s="520">
        <f>U11-U21-U23</f>
        <v>0</v>
      </c>
      <c r="V24" s="520">
        <f>V11-V21-V23</f>
        <v>0</v>
      </c>
      <c r="W24" s="520">
        <f>W11-W21-W23</f>
        <v>0</v>
      </c>
      <c r="X24" s="521">
        <f>X11-X21-X23</f>
        <v>0</v>
      </c>
      <c r="Y24" s="522"/>
      <c r="Z24" s="520">
        <f>Z11-Z21-Z23</f>
        <v>0</v>
      </c>
      <c r="AA24" s="520">
        <f>AA11-AA21-AA23</f>
        <v>0</v>
      </c>
      <c r="AB24" s="520">
        <f>AB11-AB21-AB23</f>
        <v>0</v>
      </c>
      <c r="AC24" s="521">
        <f>AC11-AC21-AC23</f>
        <v>0</v>
      </c>
      <c r="AD24" s="522"/>
      <c r="AE24" s="520">
        <f>AE11-AE21-AE23</f>
        <v>0</v>
      </c>
      <c r="AF24" s="520">
        <f>AF11-AF21-AF23</f>
        <v>0</v>
      </c>
      <c r="AG24" s="520">
        <f>AG11-AG21-AG23</f>
        <v>0</v>
      </c>
      <c r="AH24" s="521">
        <f>AH11-AH21-AH23</f>
        <v>0</v>
      </c>
      <c r="AI24" s="522"/>
      <c r="AJ24" s="520">
        <f>AJ11-AJ21-AJ23</f>
        <v>0</v>
      </c>
      <c r="AK24" s="520">
        <f>AK11-AK21-AK23</f>
        <v>0</v>
      </c>
      <c r="AL24" s="520">
        <f>AL11-AL21-AL23</f>
        <v>0</v>
      </c>
      <c r="AM24" s="586">
        <f>AM11-AM21-AM23</f>
        <v>0</v>
      </c>
      <c r="AN24" s="67">
        <f t="shared" si="3"/>
        <v>0</v>
      </c>
      <c r="AO24" s="64">
        <f t="shared" si="4"/>
        <v>0</v>
      </c>
      <c r="AP24" s="64">
        <f t="shared" si="4"/>
        <v>0</v>
      </c>
      <c r="AQ24" s="64">
        <f t="shared" si="4"/>
        <v>0</v>
      </c>
      <c r="AR24" s="68">
        <f t="shared" si="4"/>
        <v>0</v>
      </c>
    </row>
    <row r="25" spans="1:44" ht="11.25">
      <c r="A25" s="57" t="s">
        <v>105</v>
      </c>
      <c r="B25" s="39" t="s">
        <v>106</v>
      </c>
      <c r="C25" s="39" t="s">
        <v>107</v>
      </c>
      <c r="D25" s="41" t="s">
        <v>89</v>
      </c>
      <c r="E25" s="519">
        <f>SUM(F25:I25)</f>
        <v>0</v>
      </c>
      <c r="F25" s="553"/>
      <c r="G25" s="553"/>
      <c r="H25" s="553"/>
      <c r="I25" s="554"/>
      <c r="J25" s="519">
        <f>SUM(K25:N25)</f>
        <v>0</v>
      </c>
      <c r="K25" s="553"/>
      <c r="L25" s="553"/>
      <c r="M25" s="553"/>
      <c r="N25" s="554"/>
      <c r="O25" s="519">
        <f>SUM(P25:S25)</f>
        <v>0</v>
      </c>
      <c r="P25" s="553"/>
      <c r="Q25" s="553"/>
      <c r="R25" s="553"/>
      <c r="S25" s="554"/>
      <c r="T25" s="519">
        <f>SUM(U25:X25)</f>
        <v>0</v>
      </c>
      <c r="U25" s="553"/>
      <c r="V25" s="553"/>
      <c r="W25" s="553"/>
      <c r="X25" s="554"/>
      <c r="Y25" s="519">
        <f>SUM(Z25:AC25)</f>
        <v>0</v>
      </c>
      <c r="Z25" s="528"/>
      <c r="AA25" s="528"/>
      <c r="AB25" s="533"/>
      <c r="AC25" s="529"/>
      <c r="AD25" s="519">
        <f>SUM(AE25:AH25)</f>
        <v>0</v>
      </c>
      <c r="AE25" s="528"/>
      <c r="AF25" s="528"/>
      <c r="AG25" s="533"/>
      <c r="AH25" s="529"/>
      <c r="AI25" s="519">
        <f>SUM(AJ25:AM25)</f>
        <v>0</v>
      </c>
      <c r="AJ25" s="616">
        <f>Z25+AE25</f>
        <v>0</v>
      </c>
      <c r="AK25" s="616">
        <f>AA25+AF25</f>
        <v>0</v>
      </c>
      <c r="AL25" s="616">
        <f>AB25+AG25</f>
        <v>0</v>
      </c>
      <c r="AM25" s="616">
        <f>AC25+AH25</f>
        <v>0</v>
      </c>
      <c r="AN25" s="67">
        <f t="shared" si="3"/>
        <v>0</v>
      </c>
      <c r="AO25" s="64">
        <f t="shared" si="4"/>
        <v>0</v>
      </c>
      <c r="AP25" s="64">
        <f t="shared" si="4"/>
        <v>0</v>
      </c>
      <c r="AQ25" s="64">
        <f t="shared" si="4"/>
        <v>0</v>
      </c>
      <c r="AR25" s="68">
        <f t="shared" si="4"/>
        <v>0</v>
      </c>
    </row>
    <row r="26" spans="1:44" ht="11.25">
      <c r="A26" s="57"/>
      <c r="B26" s="39" t="s">
        <v>108</v>
      </c>
      <c r="C26" s="39"/>
      <c r="D26" s="41" t="s">
        <v>89</v>
      </c>
      <c r="E26" s="523"/>
      <c r="F26" s="524"/>
      <c r="G26" s="524"/>
      <c r="H26" s="524"/>
      <c r="I26" s="525"/>
      <c r="J26" s="523"/>
      <c r="K26" s="524"/>
      <c r="L26" s="524"/>
      <c r="M26" s="524"/>
      <c r="N26" s="525"/>
      <c r="O26" s="523"/>
      <c r="P26" s="524"/>
      <c r="Q26" s="524"/>
      <c r="R26" s="524"/>
      <c r="S26" s="525"/>
      <c r="T26" s="523"/>
      <c r="U26" s="524"/>
      <c r="V26" s="524"/>
      <c r="W26" s="524"/>
      <c r="X26" s="525"/>
      <c r="Y26" s="523"/>
      <c r="Z26" s="524"/>
      <c r="AA26" s="524"/>
      <c r="AB26" s="524"/>
      <c r="AC26" s="525"/>
      <c r="AD26" s="523"/>
      <c r="AE26" s="524"/>
      <c r="AF26" s="524"/>
      <c r="AG26" s="524"/>
      <c r="AH26" s="525"/>
      <c r="AI26" s="523"/>
      <c r="AJ26" s="524"/>
      <c r="AK26" s="524"/>
      <c r="AL26" s="524"/>
      <c r="AM26" s="587"/>
      <c r="AN26" s="67">
        <f t="shared" si="3"/>
        <v>0</v>
      </c>
      <c r="AO26" s="64">
        <f t="shared" si="4"/>
        <v>0</v>
      </c>
      <c r="AP26" s="64">
        <f t="shared" si="4"/>
        <v>0</v>
      </c>
      <c r="AQ26" s="64">
        <f t="shared" si="4"/>
        <v>0</v>
      </c>
      <c r="AR26" s="68">
        <f t="shared" si="4"/>
        <v>0</v>
      </c>
    </row>
    <row r="27" spans="1:44" ht="22.5">
      <c r="A27" s="57"/>
      <c r="B27" s="39" t="s">
        <v>109</v>
      </c>
      <c r="C27" s="39" t="s">
        <v>110</v>
      </c>
      <c r="D27" s="41" t="s">
        <v>89</v>
      </c>
      <c r="E27" s="519">
        <f>SUM(F27:I27)</f>
        <v>0</v>
      </c>
      <c r="F27" s="553"/>
      <c r="G27" s="553"/>
      <c r="H27" s="553"/>
      <c r="I27" s="554"/>
      <c r="J27" s="519">
        <f>SUM(K27:N27)</f>
        <v>0</v>
      </c>
      <c r="K27" s="553"/>
      <c r="L27" s="553"/>
      <c r="M27" s="553"/>
      <c r="N27" s="554"/>
      <c r="O27" s="519">
        <f>SUM(P27:S27)</f>
        <v>0</v>
      </c>
      <c r="P27" s="553"/>
      <c r="Q27" s="553"/>
      <c r="R27" s="553"/>
      <c r="S27" s="554"/>
      <c r="T27" s="519">
        <f>SUM(U27:X27)</f>
        <v>0</v>
      </c>
      <c r="U27" s="553"/>
      <c r="V27" s="553"/>
      <c r="W27" s="553"/>
      <c r="X27" s="554"/>
      <c r="Y27" s="519">
        <f>SUM(Z27:AC27)</f>
        <v>0</v>
      </c>
      <c r="Z27" s="528"/>
      <c r="AA27" s="528"/>
      <c r="AB27" s="528"/>
      <c r="AC27" s="529"/>
      <c r="AD27" s="519">
        <f>SUM(AE27:AH27)</f>
        <v>0</v>
      </c>
      <c r="AE27" s="528"/>
      <c r="AF27" s="528"/>
      <c r="AG27" s="528"/>
      <c r="AH27" s="529"/>
      <c r="AI27" s="519">
        <f>SUM(AJ27:AM27)</f>
        <v>0</v>
      </c>
      <c r="AJ27" s="528"/>
      <c r="AK27" s="528"/>
      <c r="AL27" s="528"/>
      <c r="AM27" s="589"/>
      <c r="AN27" s="67">
        <f t="shared" si="3"/>
        <v>0</v>
      </c>
      <c r="AO27" s="64">
        <f aca="true" t="shared" si="9" ref="AO27:AR31">IF(ISERROR(AJ27/P27),0,AJ27/P27)</f>
        <v>0</v>
      </c>
      <c r="AP27" s="64">
        <f t="shared" si="9"/>
        <v>0</v>
      </c>
      <c r="AQ27" s="64">
        <f t="shared" si="9"/>
        <v>0</v>
      </c>
      <c r="AR27" s="68">
        <f t="shared" si="9"/>
        <v>0</v>
      </c>
    </row>
    <row r="28" spans="1:44" ht="24.75" customHeight="1">
      <c r="A28" s="57"/>
      <c r="B28" s="39" t="s">
        <v>111</v>
      </c>
      <c r="C28" s="39" t="s">
        <v>112</v>
      </c>
      <c r="D28" s="41" t="s">
        <v>89</v>
      </c>
      <c r="E28" s="519">
        <f>SUM(F28:I28)</f>
        <v>0</v>
      </c>
      <c r="F28" s="553"/>
      <c r="G28" s="553"/>
      <c r="H28" s="553"/>
      <c r="I28" s="554"/>
      <c r="J28" s="519">
        <f>SUM(K28:N28)</f>
        <v>0</v>
      </c>
      <c r="K28" s="553"/>
      <c r="L28" s="553"/>
      <c r="M28" s="553"/>
      <c r="N28" s="554"/>
      <c r="O28" s="519">
        <f>SUM(P28:S28)</f>
        <v>0</v>
      </c>
      <c r="P28" s="553"/>
      <c r="Q28" s="553"/>
      <c r="R28" s="553"/>
      <c r="S28" s="554"/>
      <c r="T28" s="519">
        <f>SUM(U28:X28)</f>
        <v>0</v>
      </c>
      <c r="U28" s="553"/>
      <c r="V28" s="553"/>
      <c r="W28" s="553"/>
      <c r="X28" s="554"/>
      <c r="Y28" s="519">
        <f>SUM(Z28:AC28)</f>
        <v>0</v>
      </c>
      <c r="Z28" s="528"/>
      <c r="AA28" s="528"/>
      <c r="AB28" s="528"/>
      <c r="AC28" s="529"/>
      <c r="AD28" s="519">
        <f>SUM(AE28:AH28)</f>
        <v>0</v>
      </c>
      <c r="AE28" s="528"/>
      <c r="AF28" s="528"/>
      <c r="AG28" s="528"/>
      <c r="AH28" s="529"/>
      <c r="AI28" s="519">
        <f>SUM(AJ28:AM28)</f>
        <v>0</v>
      </c>
      <c r="AJ28" s="528"/>
      <c r="AK28" s="528"/>
      <c r="AL28" s="528"/>
      <c r="AM28" s="589"/>
      <c r="AN28" s="67">
        <f t="shared" si="3"/>
        <v>0</v>
      </c>
      <c r="AO28" s="64">
        <f t="shared" si="9"/>
        <v>0</v>
      </c>
      <c r="AP28" s="64">
        <f t="shared" si="9"/>
        <v>0</v>
      </c>
      <c r="AQ28" s="64">
        <f t="shared" si="9"/>
        <v>0</v>
      </c>
      <c r="AR28" s="68">
        <f t="shared" si="9"/>
        <v>0</v>
      </c>
    </row>
    <row r="29" spans="1:44" ht="11.25">
      <c r="A29" s="57" t="s">
        <v>113</v>
      </c>
      <c r="B29" s="39" t="s">
        <v>114</v>
      </c>
      <c r="C29" s="39" t="s">
        <v>115</v>
      </c>
      <c r="D29" s="41" t="s">
        <v>89</v>
      </c>
      <c r="E29" s="519">
        <f>SUM(F29:I29)</f>
        <v>0</v>
      </c>
      <c r="F29" s="553"/>
      <c r="G29" s="553"/>
      <c r="H29" s="553"/>
      <c r="I29" s="554"/>
      <c r="J29" s="519">
        <f>SUM(K29:N29)</f>
        <v>0</v>
      </c>
      <c r="K29" s="553"/>
      <c r="L29" s="553"/>
      <c r="M29" s="553"/>
      <c r="N29" s="554"/>
      <c r="O29" s="519">
        <f>SUM(P29:S29)</f>
        <v>0</v>
      </c>
      <c r="P29" s="553"/>
      <c r="Q29" s="553"/>
      <c r="R29" s="553"/>
      <c r="S29" s="554"/>
      <c r="T29" s="519">
        <f>SUM(U29:X29)</f>
        <v>0</v>
      </c>
      <c r="U29" s="553"/>
      <c r="V29" s="553"/>
      <c r="W29" s="553"/>
      <c r="X29" s="554"/>
      <c r="Y29" s="519">
        <f>SUM(Z29:AC29)</f>
        <v>0</v>
      </c>
      <c r="Z29" s="528"/>
      <c r="AA29" s="528"/>
      <c r="AB29" s="528"/>
      <c r="AC29" s="529"/>
      <c r="AD29" s="519">
        <f>SUM(AE29:AH29)</f>
        <v>0</v>
      </c>
      <c r="AE29" s="528"/>
      <c r="AF29" s="528"/>
      <c r="AG29" s="528"/>
      <c r="AH29" s="529"/>
      <c r="AI29" s="519">
        <f>SUM(AJ29:AM29)</f>
        <v>0</v>
      </c>
      <c r="AJ29" s="528"/>
      <c r="AK29" s="528"/>
      <c r="AL29" s="528"/>
      <c r="AM29" s="589"/>
      <c r="AN29" s="67">
        <f t="shared" si="3"/>
        <v>0</v>
      </c>
      <c r="AO29" s="64">
        <f t="shared" si="9"/>
        <v>0</v>
      </c>
      <c r="AP29" s="64">
        <f t="shared" si="9"/>
        <v>0</v>
      </c>
      <c r="AQ29" s="64">
        <f t="shared" si="9"/>
        <v>0</v>
      </c>
      <c r="AR29" s="68">
        <f t="shared" si="9"/>
        <v>0</v>
      </c>
    </row>
    <row r="30" spans="1:44" s="59" customFormat="1" ht="12.75">
      <c r="A30" s="57" t="s">
        <v>116</v>
      </c>
      <c r="B30" s="39" t="s">
        <v>117</v>
      </c>
      <c r="C30" s="39" t="s">
        <v>118</v>
      </c>
      <c r="D30" s="41" t="s">
        <v>89</v>
      </c>
      <c r="E30" s="519">
        <f>SUM(F30:I30)</f>
        <v>0</v>
      </c>
      <c r="F30" s="553"/>
      <c r="G30" s="553"/>
      <c r="H30" s="553"/>
      <c r="I30" s="554"/>
      <c r="J30" s="519">
        <f>SUM(K30:N30)</f>
        <v>0</v>
      </c>
      <c r="K30" s="553"/>
      <c r="L30" s="553"/>
      <c r="M30" s="553"/>
      <c r="N30" s="554"/>
      <c r="O30" s="519">
        <f>SUM(P30:S30)</f>
        <v>0</v>
      </c>
      <c r="P30" s="553"/>
      <c r="Q30" s="553"/>
      <c r="R30" s="553"/>
      <c r="S30" s="554"/>
      <c r="T30" s="519">
        <f>SUM(U30:X30)</f>
        <v>0</v>
      </c>
      <c r="U30" s="553"/>
      <c r="V30" s="553"/>
      <c r="W30" s="553"/>
      <c r="X30" s="554"/>
      <c r="Y30" s="519">
        <f>SUM(Z30:AC30)</f>
        <v>0</v>
      </c>
      <c r="Z30" s="528"/>
      <c r="AA30" s="528"/>
      <c r="AB30" s="528"/>
      <c r="AC30" s="529"/>
      <c r="AD30" s="519">
        <f>SUM(AE30:AH30)</f>
        <v>0</v>
      </c>
      <c r="AE30" s="528"/>
      <c r="AF30" s="528"/>
      <c r="AG30" s="528"/>
      <c r="AH30" s="529"/>
      <c r="AI30" s="519">
        <f>SUM(AJ30:AM30)</f>
        <v>0</v>
      </c>
      <c r="AJ30" s="528"/>
      <c r="AK30" s="528"/>
      <c r="AL30" s="528"/>
      <c r="AM30" s="589"/>
      <c r="AN30" s="67">
        <f t="shared" si="3"/>
        <v>0</v>
      </c>
      <c r="AO30" s="64">
        <f t="shared" si="9"/>
        <v>0</v>
      </c>
      <c r="AP30" s="64">
        <f t="shared" si="9"/>
        <v>0</v>
      </c>
      <c r="AQ30" s="64">
        <f t="shared" si="9"/>
        <v>0</v>
      </c>
      <c r="AR30" s="68">
        <f t="shared" si="9"/>
        <v>0</v>
      </c>
    </row>
    <row r="31" spans="1:44" s="59" customFormat="1" ht="13.5" thickBot="1">
      <c r="A31" s="57" t="s">
        <v>119</v>
      </c>
      <c r="B31" s="39" t="s">
        <v>120</v>
      </c>
      <c r="C31" s="39" t="s">
        <v>121</v>
      </c>
      <c r="D31" s="41" t="s">
        <v>89</v>
      </c>
      <c r="E31" s="519">
        <f>SUM(F31:I31)</f>
        <v>0</v>
      </c>
      <c r="F31" s="553"/>
      <c r="G31" s="553"/>
      <c r="H31" s="553"/>
      <c r="I31" s="554"/>
      <c r="J31" s="519">
        <f>SUM(K31:N31)</f>
        <v>0</v>
      </c>
      <c r="K31" s="553"/>
      <c r="L31" s="553"/>
      <c r="M31" s="553"/>
      <c r="N31" s="554"/>
      <c r="O31" s="519">
        <f>SUM(P31:S31)</f>
        <v>0</v>
      </c>
      <c r="P31" s="553"/>
      <c r="Q31" s="553"/>
      <c r="R31" s="553"/>
      <c r="S31" s="554"/>
      <c r="T31" s="519">
        <f>SUM(U31:X31)</f>
        <v>0</v>
      </c>
      <c r="U31" s="553"/>
      <c r="V31" s="553"/>
      <c r="W31" s="553"/>
      <c r="X31" s="554"/>
      <c r="Y31" s="519">
        <f>SUM(Z31:AC31)</f>
        <v>0</v>
      </c>
      <c r="Z31" s="534"/>
      <c r="AA31" s="534"/>
      <c r="AB31" s="534"/>
      <c r="AC31" s="535"/>
      <c r="AD31" s="519">
        <f>SUM(AE31:AH31)</f>
        <v>0</v>
      </c>
      <c r="AE31" s="534"/>
      <c r="AF31" s="534"/>
      <c r="AG31" s="534"/>
      <c r="AH31" s="535"/>
      <c r="AI31" s="519">
        <f>SUM(AJ31:AM31)</f>
        <v>0</v>
      </c>
      <c r="AJ31" s="534"/>
      <c r="AK31" s="534"/>
      <c r="AL31" s="534"/>
      <c r="AM31" s="590"/>
      <c r="AN31" s="67">
        <f t="shared" si="3"/>
        <v>0</v>
      </c>
      <c r="AO31" s="64">
        <f t="shared" si="9"/>
        <v>0</v>
      </c>
      <c r="AP31" s="64">
        <f t="shared" si="9"/>
        <v>0</v>
      </c>
      <c r="AQ31" s="64">
        <f t="shared" si="9"/>
        <v>0</v>
      </c>
      <c r="AR31" s="68">
        <f t="shared" si="9"/>
        <v>0</v>
      </c>
    </row>
    <row r="32" spans="1:44" ht="12" thickBot="1">
      <c r="A32" s="145" t="s">
        <v>122</v>
      </c>
      <c r="B32" s="39" t="s">
        <v>123</v>
      </c>
      <c r="C32" s="39" t="s">
        <v>124</v>
      </c>
      <c r="D32" s="41" t="s">
        <v>89</v>
      </c>
      <c r="E32" s="536"/>
      <c r="F32" s="537">
        <f>F24-F25-F29-F30-F31-G15-H15-I15</f>
        <v>0</v>
      </c>
      <c r="G32" s="537">
        <f>G24-G25-G27-G29-G30-G31-H16-I16</f>
        <v>0</v>
      </c>
      <c r="H32" s="537">
        <f>H24-H25-H27-H29-H30-H31-I17</f>
        <v>0</v>
      </c>
      <c r="I32" s="538">
        <f>I24-I25-I27-I29-I30-I31</f>
        <v>0</v>
      </c>
      <c r="J32" s="536"/>
      <c r="K32" s="537">
        <f>K24-K25-K29-K30-K31-L15-M15-N15</f>
        <v>0</v>
      </c>
      <c r="L32" s="537">
        <f>L24-L25-L27-L29-L30-L31-M16-N16</f>
        <v>0</v>
      </c>
      <c r="M32" s="537">
        <f>M24-M25-M27-M29-M30-M31-N17</f>
        <v>0</v>
      </c>
      <c r="N32" s="538">
        <f>N24-N25-N27-N29-N30-N31</f>
        <v>0</v>
      </c>
      <c r="O32" s="536"/>
      <c r="P32" s="537">
        <f>P24-P25-P29-P30-P31-Q15-R15-S15</f>
        <v>0</v>
      </c>
      <c r="Q32" s="537">
        <f>Q24-Q25-Q27-Q29-Q30-Q31-R16-S16</f>
        <v>0</v>
      </c>
      <c r="R32" s="537">
        <f>R24-R25-R27-R29-R30-R31-S17</f>
        <v>0</v>
      </c>
      <c r="S32" s="538">
        <f>S24-S25-S27-S29-S30-S31</f>
        <v>0</v>
      </c>
      <c r="T32" s="536"/>
      <c r="U32" s="537">
        <f>U24-U25-U29-U30-U31-V15-W15-X15</f>
        <v>0</v>
      </c>
      <c r="V32" s="537">
        <f>V24-V25-V27-V29-V30-V31-W16-X16</f>
        <v>0</v>
      </c>
      <c r="W32" s="537">
        <f>W24-W25-W27-W29-W30-W31-X17</f>
        <v>0</v>
      </c>
      <c r="X32" s="538">
        <f>X24-X25-X27-X29-X30-X31</f>
        <v>0</v>
      </c>
      <c r="Y32" s="536"/>
      <c r="Z32" s="537">
        <f>Z24-Z25-Z29-Z30-Z31-AA15-AB15-AC15</f>
        <v>0</v>
      </c>
      <c r="AA32" s="537">
        <f>AA24-AA25-AA27-AA29-AA30-AA31-AB16-AC16</f>
        <v>0</v>
      </c>
      <c r="AB32" s="537">
        <f>AB24-AB25-AB27-AB29-AB30-AB31-AC17</f>
        <v>0</v>
      </c>
      <c r="AC32" s="538">
        <f>AC24-AC25-AC27-AC29-AC30-AC31</f>
        <v>0</v>
      </c>
      <c r="AD32" s="536"/>
      <c r="AE32" s="537">
        <f>AE24-AE25-AE29-AE30-AE31-AF15-AG15-AH15</f>
        <v>0</v>
      </c>
      <c r="AF32" s="537">
        <f>AF24-AF25-AF27-AF29-AF30-AF31-AG16-AH16</f>
        <v>0</v>
      </c>
      <c r="AG32" s="537">
        <f>AG24-AG25-AG27-AG29-AG30-AG31-AH17</f>
        <v>0</v>
      </c>
      <c r="AH32" s="538">
        <f>AH24-AH25-AH27-AH29-AH30-AH31</f>
        <v>0</v>
      </c>
      <c r="AI32" s="536"/>
      <c r="AJ32" s="537">
        <f>AJ24-AJ25-AJ29-AJ30-AJ31-AK15-AL15-AM15</f>
        <v>0</v>
      </c>
      <c r="AK32" s="537">
        <f>AK24-AK25-AK27-AK29-AK30-AK31-AL16-AM16</f>
        <v>0</v>
      </c>
      <c r="AL32" s="537">
        <f>AL24-AL25-AL27-AL29-AL30-AL31-AM17</f>
        <v>0</v>
      </c>
      <c r="AM32" s="592">
        <f>AM24-AM25-AM27-AM29-AM30-AM31</f>
        <v>0</v>
      </c>
      <c r="AN32" s="70"/>
      <c r="AO32" s="71"/>
      <c r="AP32" s="71"/>
      <c r="AQ32" s="71"/>
      <c r="AR32" s="72"/>
    </row>
    <row r="34" spans="2:4" s="14" customFormat="1" ht="11.25">
      <c r="B34" s="61"/>
      <c r="C34" s="61"/>
      <c r="D34" s="61"/>
    </row>
    <row r="35" spans="2:31" s="14" customFormat="1" ht="15">
      <c r="B35" s="61"/>
      <c r="C35" s="61"/>
      <c r="D35" s="61"/>
      <c r="E35" s="576" t="s">
        <v>1291</v>
      </c>
      <c r="F35" s="608"/>
      <c r="G35" s="608"/>
      <c r="H35" s="607"/>
      <c r="I35" s="607"/>
      <c r="J35" s="607"/>
      <c r="K35" s="576" t="s">
        <v>1289</v>
      </c>
      <c r="Y35" s="576" t="s">
        <v>1291</v>
      </c>
      <c r="Z35" s="608"/>
      <c r="AA35" s="608"/>
      <c r="AB35" s="607"/>
      <c r="AC35" s="607"/>
      <c r="AD35" s="607"/>
      <c r="AE35" s="576" t="s">
        <v>1289</v>
      </c>
    </row>
    <row r="36" spans="2:31" s="14" customFormat="1" ht="15">
      <c r="B36" s="61"/>
      <c r="C36" s="61"/>
      <c r="D36" s="61"/>
      <c r="E36" s="576"/>
      <c r="F36" s="576"/>
      <c r="G36" s="576"/>
      <c r="H36" s="576"/>
      <c r="I36" s="576" t="s">
        <v>1288</v>
      </c>
      <c r="J36" s="576"/>
      <c r="K36" s="576"/>
      <c r="Y36" s="576"/>
      <c r="Z36" s="576"/>
      <c r="AA36" s="576"/>
      <c r="AB36" s="576"/>
      <c r="AC36" s="576" t="s">
        <v>1288</v>
      </c>
      <c r="AD36" s="576"/>
      <c r="AE36" s="576"/>
    </row>
    <row r="37" spans="2:31" s="14" customFormat="1" ht="15">
      <c r="B37" s="61"/>
      <c r="C37" s="61"/>
      <c r="D37" s="61"/>
      <c r="E37" s="576" t="s">
        <v>1290</v>
      </c>
      <c r="F37" s="576"/>
      <c r="G37" s="576"/>
      <c r="H37" s="576"/>
      <c r="I37" s="576"/>
      <c r="J37" s="576"/>
      <c r="K37" s="576"/>
      <c r="Y37" s="576" t="s">
        <v>1290</v>
      </c>
      <c r="Z37" s="576"/>
      <c r="AA37" s="576"/>
      <c r="AB37" s="576"/>
      <c r="AC37" s="576"/>
      <c r="AD37" s="576"/>
      <c r="AE37" s="576"/>
    </row>
    <row r="38" spans="2:4" s="14" customFormat="1" ht="11.25">
      <c r="B38" s="61"/>
      <c r="C38" s="61"/>
      <c r="D38" s="61"/>
    </row>
    <row r="39" spans="2:4" s="14" customFormat="1" ht="11.25">
      <c r="B39" s="61"/>
      <c r="C39" s="61"/>
      <c r="D39" s="61"/>
    </row>
    <row r="40" spans="2:4" s="14" customFormat="1" ht="11.25">
      <c r="B40" s="61"/>
      <c r="C40" s="61"/>
      <c r="D40" s="61"/>
    </row>
    <row r="41" spans="2:4" s="14" customFormat="1" ht="11.25">
      <c r="B41" s="61"/>
      <c r="C41" s="61"/>
      <c r="D41" s="61"/>
    </row>
    <row r="42" spans="2:4" s="14" customFormat="1" ht="11.25">
      <c r="B42" s="61"/>
      <c r="C42" s="61"/>
      <c r="D42" s="61"/>
    </row>
    <row r="43" spans="2:4" s="14" customFormat="1" ht="11.25">
      <c r="B43" s="61"/>
      <c r="C43" s="61"/>
      <c r="D43" s="61"/>
    </row>
    <row r="44" spans="2:4" s="14" customFormat="1" ht="11.25">
      <c r="B44" s="61"/>
      <c r="C44" s="61"/>
      <c r="D44" s="61"/>
    </row>
    <row r="45" spans="2:4" s="14" customFormat="1" ht="11.25">
      <c r="B45" s="61"/>
      <c r="C45" s="61"/>
      <c r="D45" s="61"/>
    </row>
    <row r="46" spans="2:4" s="14" customFormat="1" ht="11.25">
      <c r="B46" s="61"/>
      <c r="C46" s="61"/>
      <c r="D46" s="61"/>
    </row>
    <row r="47" spans="2:4" s="14" customFormat="1" ht="11.25">
      <c r="B47" s="61"/>
      <c r="C47" s="61"/>
      <c r="D47" s="61"/>
    </row>
    <row r="48" spans="2:4" s="14" customFormat="1" ht="11.25">
      <c r="B48" s="61"/>
      <c r="C48" s="61"/>
      <c r="D48" s="61"/>
    </row>
    <row r="49" spans="2:4" s="14" customFormat="1" ht="11.25">
      <c r="B49" s="61"/>
      <c r="C49" s="61"/>
      <c r="D49" s="61"/>
    </row>
    <row r="50" spans="2:4" s="14" customFormat="1" ht="11.25">
      <c r="B50" s="61"/>
      <c r="C50" s="61"/>
      <c r="D50" s="61"/>
    </row>
    <row r="51" spans="2:4" s="14" customFormat="1" ht="11.25">
      <c r="B51" s="61"/>
      <c r="C51" s="61"/>
      <c r="D51" s="61"/>
    </row>
    <row r="52" spans="2:4" s="14" customFormat="1" ht="11.25">
      <c r="B52" s="61"/>
      <c r="C52" s="61"/>
      <c r="D52" s="61"/>
    </row>
    <row r="53" spans="2:4" s="14" customFormat="1" ht="11.25">
      <c r="B53" s="61"/>
      <c r="C53" s="61"/>
      <c r="D53" s="61"/>
    </row>
    <row r="54" spans="2:4" s="14" customFormat="1" ht="11.25">
      <c r="B54" s="61"/>
      <c r="C54" s="61"/>
      <c r="D54" s="61"/>
    </row>
    <row r="55" spans="2:4" s="14" customFormat="1" ht="11.25">
      <c r="B55" s="61"/>
      <c r="C55" s="61"/>
      <c r="D55" s="61"/>
    </row>
    <row r="56" spans="2:4" s="14" customFormat="1" ht="11.25">
      <c r="B56" s="61"/>
      <c r="C56" s="61"/>
      <c r="D56" s="61"/>
    </row>
    <row r="57" spans="2:4" s="14" customFormat="1" ht="11.25">
      <c r="B57" s="61"/>
      <c r="C57" s="61"/>
      <c r="D57" s="61"/>
    </row>
    <row r="58" spans="2:4" s="14" customFormat="1" ht="11.25">
      <c r="B58" s="61"/>
      <c r="C58" s="61"/>
      <c r="D58" s="61"/>
    </row>
    <row r="59" spans="2:4" s="14" customFormat="1" ht="11.25">
      <c r="B59" s="61"/>
      <c r="C59" s="61"/>
      <c r="D59" s="61"/>
    </row>
    <row r="60" spans="2:4" s="14" customFormat="1" ht="11.25">
      <c r="B60" s="61"/>
      <c r="C60" s="61"/>
      <c r="D60" s="61"/>
    </row>
    <row r="61" spans="2:4" s="14" customFormat="1" ht="11.25">
      <c r="B61" s="61"/>
      <c r="C61" s="61"/>
      <c r="D61" s="61"/>
    </row>
    <row r="62" spans="2:4" s="14" customFormat="1" ht="11.25">
      <c r="B62" s="61"/>
      <c r="C62" s="61"/>
      <c r="D62" s="61"/>
    </row>
    <row r="63" spans="2:4" s="14" customFormat="1" ht="11.25">
      <c r="B63" s="61"/>
      <c r="C63" s="61"/>
      <c r="D63" s="61"/>
    </row>
    <row r="64" spans="2:4" s="14" customFormat="1" ht="11.25">
      <c r="B64" s="61"/>
      <c r="C64" s="61"/>
      <c r="D64" s="61"/>
    </row>
    <row r="65" spans="2:4" s="14" customFormat="1" ht="11.25">
      <c r="B65" s="61"/>
      <c r="C65" s="61"/>
      <c r="D65" s="61"/>
    </row>
    <row r="66" spans="2:4" s="14" customFormat="1" ht="11.25">
      <c r="B66" s="61"/>
      <c r="C66" s="61"/>
      <c r="D66" s="61"/>
    </row>
    <row r="67" spans="2:4" s="14" customFormat="1" ht="11.25">
      <c r="B67" s="61"/>
      <c r="C67" s="61"/>
      <c r="D67" s="61"/>
    </row>
    <row r="68" spans="2:4" s="14" customFormat="1" ht="11.25">
      <c r="B68" s="61"/>
      <c r="C68" s="61"/>
      <c r="D68" s="61"/>
    </row>
    <row r="69" spans="2:4" s="14" customFormat="1" ht="11.25">
      <c r="B69" s="61"/>
      <c r="C69" s="61"/>
      <c r="D69" s="61"/>
    </row>
    <row r="70" spans="2:4" s="14" customFormat="1" ht="11.25">
      <c r="B70" s="61"/>
      <c r="C70" s="61"/>
      <c r="D70" s="61"/>
    </row>
    <row r="71" spans="2:4" s="14" customFormat="1" ht="11.25">
      <c r="B71" s="61"/>
      <c r="C71" s="61"/>
      <c r="D71" s="61"/>
    </row>
    <row r="72" spans="2:4" s="14" customFormat="1" ht="11.25">
      <c r="B72" s="61"/>
      <c r="C72" s="61"/>
      <c r="D72" s="61"/>
    </row>
    <row r="73" spans="2:4" s="14" customFormat="1" ht="11.25">
      <c r="B73" s="61"/>
      <c r="C73" s="61"/>
      <c r="D73" s="61"/>
    </row>
    <row r="74" spans="2:4" s="14" customFormat="1" ht="11.25">
      <c r="B74" s="61"/>
      <c r="C74" s="61"/>
      <c r="D74" s="61"/>
    </row>
    <row r="75" spans="2:4" s="14" customFormat="1" ht="11.25">
      <c r="B75" s="61"/>
      <c r="C75" s="61"/>
      <c r="D75" s="61"/>
    </row>
    <row r="76" spans="2:4" s="14" customFormat="1" ht="11.25">
      <c r="B76" s="61"/>
      <c r="C76" s="61"/>
      <c r="D76" s="61"/>
    </row>
    <row r="77" spans="2:4" s="14" customFormat="1" ht="11.25">
      <c r="B77" s="61"/>
      <c r="C77" s="61"/>
      <c r="D77" s="61"/>
    </row>
  </sheetData>
  <sheetProtection formatColumns="0" formatRows="0"/>
  <protectedRanges>
    <protectedRange sqref="Z14:AC20 AE14:AH20 AJ14:AM20 AJ23:AM23 AJ25:AM25" name="Диапазон1"/>
    <protectedRange sqref="Z27:AC31 Z25:AC25 AE27:AH31 AE25:AH25 AJ27:AM31" name="Диапазон1_1"/>
  </protectedRanges>
  <mergeCells count="14">
    <mergeCell ref="A4:A5"/>
    <mergeCell ref="B4:B5"/>
    <mergeCell ref="C4:C5"/>
    <mergeCell ref="D4:D5"/>
    <mergeCell ref="E4:I4"/>
    <mergeCell ref="J4:N4"/>
    <mergeCell ref="T4:X4"/>
    <mergeCell ref="Y4:AC4"/>
    <mergeCell ref="AD4:AH4"/>
    <mergeCell ref="AI4:AM4"/>
    <mergeCell ref="AN4:AR4"/>
    <mergeCell ref="E2:P2"/>
    <mergeCell ref="Y2:AI2"/>
    <mergeCell ref="O4:S4"/>
  </mergeCells>
  <dataValidations count="1">
    <dataValidation type="decimal" allowBlank="1" showInputMessage="1" showErrorMessage="1" error="Ввведеное значение неверно" sqref="Z25:AC25 U27:X31 P27:S31 K27:N31 F27:I31 Z23:AC23 U25:X25 P25:S25 K25:N25 F25:I25 Z14:AC20 U23:X23 P23:S23 K23:N23 F23:I23 F14:I20 U14:X20 P14:S20 K14:N20 Z27:AC31 AE23:AH23 AE14:AH20 AE27:AH31 AE25:AH25 AJ14:AM20 AJ23:AM23 AJ27:AM31 AJ25:AM25">
      <formula1>-1000000000000000</formula1>
      <formula2>1000000000000000</formula2>
    </dataValidation>
  </dataValidations>
  <printOptions/>
  <pageMargins left="0.6299212598425197" right="0.2755905511811024" top="0.8267716535433072" bottom="0.4724409448818898" header="0.5118110236220472" footer="0.2755905511811024"/>
  <pageSetup horizontalDpi="600" verticalDpi="600" orientation="landscape" paperSize="9" scale="68" r:id="rId1"/>
  <colBreaks count="1" manualBreakCount="1">
    <brk id="24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7"/>
  <dimension ref="A1:AR96"/>
  <sheetViews>
    <sheetView view="pageBreakPreview" zoomScaleSheetLayoutView="100" zoomScalePageLayoutView="0" workbookViewId="0" topLeftCell="A16">
      <pane xSplit="4" topLeftCell="E1" activePane="topRight" state="frozen"/>
      <selection pane="topLeft" activeCell="F41" sqref="F41"/>
      <selection pane="topRight" activeCell="AG42" sqref="AG42"/>
    </sheetView>
  </sheetViews>
  <sheetFormatPr defaultColWidth="9.140625" defaultRowHeight="11.25"/>
  <cols>
    <col min="1" max="1" width="4.421875" style="0" customWidth="1"/>
    <col min="2" max="2" width="44.00390625" style="48" customWidth="1"/>
    <col min="3" max="3" width="0" style="48" hidden="1" customWidth="1"/>
    <col min="4" max="4" width="5.140625" style="48" customWidth="1"/>
    <col min="5" max="14" width="8.7109375" style="0" customWidth="1"/>
    <col min="40" max="40" width="7.00390625" style="0" customWidth="1"/>
    <col min="41" max="42" width="7.140625" style="0" customWidth="1"/>
    <col min="43" max="44" width="6.8515625" style="0" customWidth="1"/>
  </cols>
  <sheetData>
    <row r="1" spans="1:19" ht="12.75" hidden="1">
      <c r="A1" s="34" t="str">
        <f>Справочники!E13</f>
        <v>Мурманская область</v>
      </c>
      <c r="B1" s="241" t="str">
        <f>Справочники!D21</f>
        <v>МУП "Кировская горэлектросеть"</v>
      </c>
      <c r="C1" s="46"/>
      <c r="D1" s="46"/>
      <c r="E1" s="47"/>
      <c r="F1" s="47"/>
      <c r="G1" s="47"/>
      <c r="H1" s="47"/>
      <c r="I1" s="47"/>
      <c r="S1" s="2" t="s">
        <v>125</v>
      </c>
    </row>
    <row r="2" spans="2:37" ht="19.5" customHeight="1">
      <c r="B2" s="618"/>
      <c r="C2" s="618"/>
      <c r="D2" s="618"/>
      <c r="E2" s="794" t="s">
        <v>126</v>
      </c>
      <c r="F2" s="794"/>
      <c r="G2" s="794"/>
      <c r="H2" s="794"/>
      <c r="I2" s="794"/>
      <c r="J2" s="794"/>
      <c r="K2" s="794"/>
      <c r="L2" s="794"/>
      <c r="M2" s="794"/>
      <c r="N2" s="794"/>
      <c r="O2" s="794"/>
      <c r="P2" s="794"/>
      <c r="Q2" s="794"/>
      <c r="R2" s="618"/>
      <c r="S2" s="618"/>
      <c r="Y2" s="794" t="s">
        <v>126</v>
      </c>
      <c r="Z2" s="794"/>
      <c r="AA2" s="794"/>
      <c r="AB2" s="794"/>
      <c r="AC2" s="794"/>
      <c r="AD2" s="794"/>
      <c r="AE2" s="794"/>
      <c r="AF2" s="794"/>
      <c r="AG2" s="794"/>
      <c r="AH2" s="794"/>
      <c r="AI2" s="794"/>
      <c r="AJ2" s="794"/>
      <c r="AK2" s="794"/>
    </row>
    <row r="3" spans="19:39" ht="12" thickBot="1">
      <c r="S3" t="s">
        <v>127</v>
      </c>
      <c r="AC3" t="s">
        <v>127</v>
      </c>
      <c r="AH3" t="s">
        <v>127</v>
      </c>
      <c r="AM3" t="s">
        <v>127</v>
      </c>
    </row>
    <row r="4" spans="1:44" s="231" customFormat="1" ht="17.25" customHeight="1">
      <c r="A4" s="771" t="s">
        <v>86</v>
      </c>
      <c r="B4" s="792" t="s">
        <v>25</v>
      </c>
      <c r="C4" s="176"/>
      <c r="D4" s="792"/>
      <c r="E4" s="777" t="s">
        <v>1303</v>
      </c>
      <c r="F4" s="773"/>
      <c r="G4" s="773"/>
      <c r="H4" s="773"/>
      <c r="I4" s="778"/>
      <c r="J4" s="777" t="s">
        <v>1304</v>
      </c>
      <c r="K4" s="773"/>
      <c r="L4" s="773"/>
      <c r="M4" s="773"/>
      <c r="N4" s="778"/>
      <c r="O4" s="777" t="s">
        <v>1286</v>
      </c>
      <c r="P4" s="773"/>
      <c r="Q4" s="773"/>
      <c r="R4" s="773"/>
      <c r="S4" s="778"/>
      <c r="T4" s="777" t="s">
        <v>1305</v>
      </c>
      <c r="U4" s="773"/>
      <c r="V4" s="773"/>
      <c r="W4" s="773"/>
      <c r="X4" s="775"/>
      <c r="Y4" s="779" t="s">
        <v>1309</v>
      </c>
      <c r="Z4" s="780"/>
      <c r="AA4" s="780"/>
      <c r="AB4" s="780"/>
      <c r="AC4" s="781"/>
      <c r="AD4" s="779" t="s">
        <v>1310</v>
      </c>
      <c r="AE4" s="780"/>
      <c r="AF4" s="780"/>
      <c r="AG4" s="780"/>
      <c r="AH4" s="781"/>
      <c r="AI4" s="779" t="s">
        <v>1311</v>
      </c>
      <c r="AJ4" s="780"/>
      <c r="AK4" s="780"/>
      <c r="AL4" s="780"/>
      <c r="AM4" s="781"/>
      <c r="AN4" s="793" t="s">
        <v>27</v>
      </c>
      <c r="AO4" s="789"/>
      <c r="AP4" s="789"/>
      <c r="AQ4" s="789"/>
      <c r="AR4" s="790"/>
    </row>
    <row r="5" spans="1:44" s="231" customFormat="1" ht="11.25">
      <c r="A5" s="772"/>
      <c r="B5" s="786"/>
      <c r="C5" s="178"/>
      <c r="D5" s="786"/>
      <c r="E5" s="4" t="s">
        <v>87</v>
      </c>
      <c r="F5" s="4" t="s">
        <v>28</v>
      </c>
      <c r="G5" s="4" t="s">
        <v>29</v>
      </c>
      <c r="H5" s="4" t="s">
        <v>30</v>
      </c>
      <c r="I5" s="4" t="s">
        <v>31</v>
      </c>
      <c r="J5" s="4" t="s">
        <v>87</v>
      </c>
      <c r="K5" s="4" t="s">
        <v>28</v>
      </c>
      <c r="L5" s="4" t="s">
        <v>29</v>
      </c>
      <c r="M5" s="4" t="s">
        <v>30</v>
      </c>
      <c r="N5" s="4" t="s">
        <v>31</v>
      </c>
      <c r="O5" s="4" t="s">
        <v>87</v>
      </c>
      <c r="P5" s="4" t="s">
        <v>28</v>
      </c>
      <c r="Q5" s="4" t="s">
        <v>29</v>
      </c>
      <c r="R5" s="4" t="s">
        <v>30</v>
      </c>
      <c r="S5" s="4" t="s">
        <v>31</v>
      </c>
      <c r="T5" s="4" t="s">
        <v>87</v>
      </c>
      <c r="U5" s="4" t="s">
        <v>28</v>
      </c>
      <c r="V5" s="4" t="s">
        <v>29</v>
      </c>
      <c r="W5" s="4" t="s">
        <v>30</v>
      </c>
      <c r="X5" s="38" t="s">
        <v>31</v>
      </c>
      <c r="Y5" s="9" t="s">
        <v>87</v>
      </c>
      <c r="Z5" s="4" t="s">
        <v>28</v>
      </c>
      <c r="AA5" s="4" t="s">
        <v>29</v>
      </c>
      <c r="AB5" s="4" t="s">
        <v>30</v>
      </c>
      <c r="AC5" s="8" t="s">
        <v>31</v>
      </c>
      <c r="AD5" s="9" t="s">
        <v>87</v>
      </c>
      <c r="AE5" s="4" t="s">
        <v>28</v>
      </c>
      <c r="AF5" s="4" t="s">
        <v>29</v>
      </c>
      <c r="AG5" s="4" t="s">
        <v>30</v>
      </c>
      <c r="AH5" s="8" t="s">
        <v>31</v>
      </c>
      <c r="AI5" s="9" t="s">
        <v>87</v>
      </c>
      <c r="AJ5" s="4" t="s">
        <v>28</v>
      </c>
      <c r="AK5" s="4" t="s">
        <v>29</v>
      </c>
      <c r="AL5" s="4" t="s">
        <v>30</v>
      </c>
      <c r="AM5" s="8" t="s">
        <v>31</v>
      </c>
      <c r="AN5" s="62" t="s">
        <v>87</v>
      </c>
      <c r="AO5" s="4" t="s">
        <v>28</v>
      </c>
      <c r="AP5" s="4" t="s">
        <v>29</v>
      </c>
      <c r="AQ5" s="4" t="s">
        <v>30</v>
      </c>
      <c r="AR5" s="8" t="s">
        <v>31</v>
      </c>
    </row>
    <row r="6" spans="1:44" ht="11.25" customHeight="1" hidden="1">
      <c r="A6" s="772"/>
      <c r="B6" s="786"/>
      <c r="C6" s="328"/>
      <c r="D6" s="786"/>
      <c r="E6" s="4" t="str">
        <f>E4</f>
        <v>2013 план</v>
      </c>
      <c r="F6" s="4" t="str">
        <f>E4</f>
        <v>2013 план</v>
      </c>
      <c r="G6" s="4" t="str">
        <f>E4</f>
        <v>2013 план</v>
      </c>
      <c r="H6" s="4" t="str">
        <f>E4</f>
        <v>2013 план</v>
      </c>
      <c r="I6" s="4" t="str">
        <f>E4</f>
        <v>2013 план</v>
      </c>
      <c r="J6" s="4" t="str">
        <f>J4</f>
        <v>2013 факт</v>
      </c>
      <c r="K6" s="4" t="str">
        <f>J4</f>
        <v>2013 факт</v>
      </c>
      <c r="L6" s="4" t="str">
        <f>J4</f>
        <v>2013 факт</v>
      </c>
      <c r="M6" s="4" t="str">
        <f>J4</f>
        <v>2013 факт</v>
      </c>
      <c r="N6" s="4" t="str">
        <f>J4</f>
        <v>2013 факт</v>
      </c>
      <c r="O6" s="4" t="str">
        <f>O4</f>
        <v>2014 план</v>
      </c>
      <c r="P6" s="4" t="str">
        <f>O4</f>
        <v>2014 план</v>
      </c>
      <c r="Q6" s="4" t="str">
        <f>O4</f>
        <v>2014 план</v>
      </c>
      <c r="R6" s="4" t="str">
        <f>O4</f>
        <v>2014 план</v>
      </c>
      <c r="S6" s="4" t="str">
        <f>O4</f>
        <v>2014 план</v>
      </c>
      <c r="T6" s="4" t="str">
        <f>T4</f>
        <v>2014 ожидаемое</v>
      </c>
      <c r="U6" s="4" t="str">
        <f>T4</f>
        <v>2014 ожидаемое</v>
      </c>
      <c r="V6" s="4" t="str">
        <f>T4</f>
        <v>2014 ожидаемое</v>
      </c>
      <c r="W6" s="4" t="str">
        <f>T4</f>
        <v>2014 ожидаемое</v>
      </c>
      <c r="X6" s="38" t="str">
        <f>T4</f>
        <v>2014 ожидаемое</v>
      </c>
      <c r="Y6" s="9" t="str">
        <f>Y4</f>
        <v>1 полугодие 2015 план</v>
      </c>
      <c r="Z6" s="4" t="str">
        <f>Y4</f>
        <v>1 полугодие 2015 план</v>
      </c>
      <c r="AA6" s="4" t="str">
        <f>Y4</f>
        <v>1 полугодие 2015 план</v>
      </c>
      <c r="AB6" s="4" t="str">
        <f>Y4</f>
        <v>1 полугодие 2015 план</v>
      </c>
      <c r="AC6" s="8" t="str">
        <f>Y4</f>
        <v>1 полугодие 2015 план</v>
      </c>
      <c r="AD6" s="9" t="str">
        <f>AD4</f>
        <v>2 полугодие 2015 план</v>
      </c>
      <c r="AE6" s="4" t="str">
        <f>AD4</f>
        <v>2 полугодие 2015 план</v>
      </c>
      <c r="AF6" s="4" t="str">
        <f>AD4</f>
        <v>2 полугодие 2015 план</v>
      </c>
      <c r="AG6" s="4" t="str">
        <f>AD4</f>
        <v>2 полугодие 2015 план</v>
      </c>
      <c r="AH6" s="8" t="str">
        <f>AD4</f>
        <v>2 полугодие 2015 план</v>
      </c>
      <c r="AI6" s="9" t="str">
        <f>AI4</f>
        <v>2015 план</v>
      </c>
      <c r="AJ6" s="4" t="str">
        <f>AI4</f>
        <v>2015 план</v>
      </c>
      <c r="AK6" s="4" t="str">
        <f>AI4</f>
        <v>2015 план</v>
      </c>
      <c r="AL6" s="4" t="str">
        <f>AI4</f>
        <v>2015 план</v>
      </c>
      <c r="AM6" s="8" t="str">
        <f>AI4</f>
        <v>2015 план</v>
      </c>
      <c r="AN6" s="331" t="s">
        <v>137</v>
      </c>
      <c r="AO6" s="255" t="s">
        <v>137</v>
      </c>
      <c r="AP6" s="255" t="s">
        <v>137</v>
      </c>
      <c r="AQ6" s="255" t="s">
        <v>137</v>
      </c>
      <c r="AR6" s="258" t="s">
        <v>137</v>
      </c>
    </row>
    <row r="7" spans="1:44" ht="11.25" customHeight="1" hidden="1">
      <c r="A7" s="9"/>
      <c r="B7" s="162"/>
      <c r="C7" s="328"/>
      <c r="D7" s="162"/>
      <c r="E7" s="4" t="str">
        <f>E5</f>
        <v>Всего</v>
      </c>
      <c r="F7" s="4" t="str">
        <f>F5</f>
        <v>ВН</v>
      </c>
      <c r="G7" s="4" t="str">
        <f>G5</f>
        <v>СН1</v>
      </c>
      <c r="H7" s="4" t="str">
        <f>H5</f>
        <v>СН2</v>
      </c>
      <c r="I7" s="4" t="str">
        <f>I5</f>
        <v>НН</v>
      </c>
      <c r="J7" s="4" t="str">
        <f>J5</f>
        <v>Всего</v>
      </c>
      <c r="K7" s="4" t="str">
        <f>K5</f>
        <v>ВН</v>
      </c>
      <c r="L7" s="4" t="str">
        <f>L5</f>
        <v>СН1</v>
      </c>
      <c r="M7" s="4" t="str">
        <f>M5</f>
        <v>СН2</v>
      </c>
      <c r="N7" s="4" t="str">
        <f>N5</f>
        <v>НН</v>
      </c>
      <c r="O7" s="4" t="str">
        <f>O5</f>
        <v>Всего</v>
      </c>
      <c r="P7" s="4" t="str">
        <f>P5</f>
        <v>ВН</v>
      </c>
      <c r="Q7" s="4" t="str">
        <f>Q5</f>
        <v>СН1</v>
      </c>
      <c r="R7" s="4" t="str">
        <f>R5</f>
        <v>СН2</v>
      </c>
      <c r="S7" s="4" t="str">
        <f>S5</f>
        <v>НН</v>
      </c>
      <c r="T7" s="4" t="str">
        <f>T5</f>
        <v>Всего</v>
      </c>
      <c r="U7" s="4" t="str">
        <f>U5</f>
        <v>ВН</v>
      </c>
      <c r="V7" s="4" t="str">
        <f>V5</f>
        <v>СН1</v>
      </c>
      <c r="W7" s="4" t="str">
        <f>W5</f>
        <v>СН2</v>
      </c>
      <c r="X7" s="38" t="str">
        <f>X5</f>
        <v>НН</v>
      </c>
      <c r="Y7" s="9" t="str">
        <f>Y5</f>
        <v>Всего</v>
      </c>
      <c r="Z7" s="4" t="str">
        <f aca="true" t="shared" si="0" ref="Z7:AR7">Z5</f>
        <v>ВН</v>
      </c>
      <c r="AA7" s="4" t="str">
        <f t="shared" si="0"/>
        <v>СН1</v>
      </c>
      <c r="AB7" s="4" t="str">
        <f t="shared" si="0"/>
        <v>СН2</v>
      </c>
      <c r="AC7" s="8" t="str">
        <f t="shared" si="0"/>
        <v>НН</v>
      </c>
      <c r="AD7" s="9" t="str">
        <f>AD5</f>
        <v>Всего</v>
      </c>
      <c r="AE7" s="4" t="str">
        <f>AE5</f>
        <v>ВН</v>
      </c>
      <c r="AF7" s="4" t="str">
        <f>AF5</f>
        <v>СН1</v>
      </c>
      <c r="AG7" s="4" t="str">
        <f>AG5</f>
        <v>СН2</v>
      </c>
      <c r="AH7" s="8" t="str">
        <f>AH5</f>
        <v>НН</v>
      </c>
      <c r="AI7" s="9" t="str">
        <f>AI5</f>
        <v>Всего</v>
      </c>
      <c r="AJ7" s="4" t="str">
        <f>AJ5</f>
        <v>ВН</v>
      </c>
      <c r="AK7" s="4" t="str">
        <f>AK5</f>
        <v>СН1</v>
      </c>
      <c r="AL7" s="4" t="str">
        <f>AL5</f>
        <v>СН2</v>
      </c>
      <c r="AM7" s="8" t="str">
        <f>AM5</f>
        <v>НН</v>
      </c>
      <c r="AN7" s="62" t="str">
        <f t="shared" si="0"/>
        <v>Всего</v>
      </c>
      <c r="AO7" s="4" t="str">
        <f t="shared" si="0"/>
        <v>ВН</v>
      </c>
      <c r="AP7" s="4" t="str">
        <f t="shared" si="0"/>
        <v>СН1</v>
      </c>
      <c r="AQ7" s="4" t="str">
        <f t="shared" si="0"/>
        <v>СН2</v>
      </c>
      <c r="AR7" s="8" t="str">
        <f t="shared" si="0"/>
        <v>НН</v>
      </c>
    </row>
    <row r="8" spans="1:44" ht="11.25" customHeight="1" hidden="1">
      <c r="A8" s="9"/>
      <c r="B8" s="162"/>
      <c r="C8" s="328"/>
      <c r="D8" s="162"/>
      <c r="E8" s="254" t="s">
        <v>82</v>
      </c>
      <c r="F8" s="254" t="s">
        <v>82</v>
      </c>
      <c r="G8" s="254" t="s">
        <v>82</v>
      </c>
      <c r="H8" s="254" t="s">
        <v>82</v>
      </c>
      <c r="I8" s="254" t="s">
        <v>82</v>
      </c>
      <c r="J8" s="254" t="s">
        <v>81</v>
      </c>
      <c r="K8" s="254" t="s">
        <v>81</v>
      </c>
      <c r="L8" s="254" t="s">
        <v>81</v>
      </c>
      <c r="M8" s="254" t="s">
        <v>81</v>
      </c>
      <c r="N8" s="254" t="s">
        <v>81</v>
      </c>
      <c r="O8" s="254" t="s">
        <v>82</v>
      </c>
      <c r="P8" s="254" t="s">
        <v>82</v>
      </c>
      <c r="Q8" s="254" t="s">
        <v>82</v>
      </c>
      <c r="R8" s="254" t="s">
        <v>82</v>
      </c>
      <c r="S8" s="254" t="s">
        <v>82</v>
      </c>
      <c r="T8" s="254" t="s">
        <v>138</v>
      </c>
      <c r="U8" s="254" t="s">
        <v>138</v>
      </c>
      <c r="V8" s="254" t="s">
        <v>138</v>
      </c>
      <c r="W8" s="254" t="s">
        <v>138</v>
      </c>
      <c r="X8" s="591" t="s">
        <v>138</v>
      </c>
      <c r="Y8" s="335" t="s">
        <v>82</v>
      </c>
      <c r="Z8" s="254" t="s">
        <v>82</v>
      </c>
      <c r="AA8" s="254" t="s">
        <v>82</v>
      </c>
      <c r="AB8" s="254" t="s">
        <v>82</v>
      </c>
      <c r="AC8" s="298" t="s">
        <v>82</v>
      </c>
      <c r="AD8" s="335" t="s">
        <v>82</v>
      </c>
      <c r="AE8" s="254" t="s">
        <v>82</v>
      </c>
      <c r="AF8" s="254" t="s">
        <v>82</v>
      </c>
      <c r="AG8" s="254" t="s">
        <v>82</v>
      </c>
      <c r="AH8" s="298" t="s">
        <v>82</v>
      </c>
      <c r="AI8" s="335" t="s">
        <v>82</v>
      </c>
      <c r="AJ8" s="254" t="s">
        <v>82</v>
      </c>
      <c r="AK8" s="254" t="s">
        <v>82</v>
      </c>
      <c r="AL8" s="254" t="s">
        <v>82</v>
      </c>
      <c r="AM8" s="298" t="s">
        <v>82</v>
      </c>
      <c r="AN8" s="331" t="s">
        <v>137</v>
      </c>
      <c r="AO8" s="255" t="s">
        <v>137</v>
      </c>
      <c r="AP8" s="255" t="s">
        <v>137</v>
      </c>
      <c r="AQ8" s="255" t="s">
        <v>137</v>
      </c>
      <c r="AR8" s="258" t="s">
        <v>137</v>
      </c>
    </row>
    <row r="9" spans="1:44" ht="22.5" customHeight="1" hidden="1">
      <c r="A9" s="9"/>
      <c r="B9" s="162"/>
      <c r="C9" s="328"/>
      <c r="D9" s="162"/>
      <c r="E9" s="254" t="s">
        <v>139</v>
      </c>
      <c r="F9" s="254" t="s">
        <v>139</v>
      </c>
      <c r="G9" s="254" t="s">
        <v>139</v>
      </c>
      <c r="H9" s="254" t="s">
        <v>139</v>
      </c>
      <c r="I9" s="254" t="s">
        <v>139</v>
      </c>
      <c r="J9" s="254" t="s">
        <v>139</v>
      </c>
      <c r="K9" s="254" t="s">
        <v>139</v>
      </c>
      <c r="L9" s="254" t="s">
        <v>139</v>
      </c>
      <c r="M9" s="254" t="s">
        <v>139</v>
      </c>
      <c r="N9" s="254" t="s">
        <v>139</v>
      </c>
      <c r="O9" s="254" t="s">
        <v>139</v>
      </c>
      <c r="P9" s="254" t="s">
        <v>139</v>
      </c>
      <c r="Q9" s="254" t="s">
        <v>139</v>
      </c>
      <c r="R9" s="254" t="s">
        <v>139</v>
      </c>
      <c r="S9" s="254" t="s">
        <v>139</v>
      </c>
      <c r="T9" s="254" t="s">
        <v>139</v>
      </c>
      <c r="U9" s="254" t="s">
        <v>139</v>
      </c>
      <c r="V9" s="254" t="s">
        <v>139</v>
      </c>
      <c r="W9" s="254" t="s">
        <v>139</v>
      </c>
      <c r="X9" s="591" t="s">
        <v>139</v>
      </c>
      <c r="Y9" s="335" t="s">
        <v>139</v>
      </c>
      <c r="Z9" s="254" t="s">
        <v>139</v>
      </c>
      <c r="AA9" s="254" t="s">
        <v>139</v>
      </c>
      <c r="AB9" s="254" t="s">
        <v>139</v>
      </c>
      <c r="AC9" s="298" t="s">
        <v>139</v>
      </c>
      <c r="AD9" s="335" t="s">
        <v>139</v>
      </c>
      <c r="AE9" s="254" t="s">
        <v>139</v>
      </c>
      <c r="AF9" s="254" t="s">
        <v>139</v>
      </c>
      <c r="AG9" s="254" t="s">
        <v>139</v>
      </c>
      <c r="AH9" s="298" t="s">
        <v>139</v>
      </c>
      <c r="AI9" s="335" t="s">
        <v>139</v>
      </c>
      <c r="AJ9" s="254" t="s">
        <v>139</v>
      </c>
      <c r="AK9" s="254" t="s">
        <v>139</v>
      </c>
      <c r="AL9" s="254" t="s">
        <v>139</v>
      </c>
      <c r="AM9" s="298" t="s">
        <v>139</v>
      </c>
      <c r="AN9" s="332" t="s">
        <v>139</v>
      </c>
      <c r="AO9" s="254" t="s">
        <v>139</v>
      </c>
      <c r="AP9" s="254" t="s">
        <v>139</v>
      </c>
      <c r="AQ9" s="254" t="s">
        <v>139</v>
      </c>
      <c r="AR9" s="298" t="s">
        <v>139</v>
      </c>
    </row>
    <row r="10" spans="1:44" ht="12" thickBot="1">
      <c r="A10" s="49">
        <v>1</v>
      </c>
      <c r="B10" s="163">
        <v>2</v>
      </c>
      <c r="C10" s="163"/>
      <c r="D10" s="163"/>
      <c r="E10" s="50">
        <v>3</v>
      </c>
      <c r="F10" s="50">
        <f>E10+1</f>
        <v>4</v>
      </c>
      <c r="G10" s="50">
        <f aca="true" t="shared" si="1" ref="G10:AC10">F10+1</f>
        <v>5</v>
      </c>
      <c r="H10" s="50">
        <f t="shared" si="1"/>
        <v>6</v>
      </c>
      <c r="I10" s="50">
        <f t="shared" si="1"/>
        <v>7</v>
      </c>
      <c r="J10" s="50">
        <f t="shared" si="1"/>
        <v>8</v>
      </c>
      <c r="K10" s="50">
        <f t="shared" si="1"/>
        <v>9</v>
      </c>
      <c r="L10" s="50">
        <f t="shared" si="1"/>
        <v>10</v>
      </c>
      <c r="M10" s="50">
        <f t="shared" si="1"/>
        <v>11</v>
      </c>
      <c r="N10" s="50">
        <f t="shared" si="1"/>
        <v>12</v>
      </c>
      <c r="O10" s="50">
        <f t="shared" si="1"/>
        <v>13</v>
      </c>
      <c r="P10" s="50">
        <f t="shared" si="1"/>
        <v>14</v>
      </c>
      <c r="Q10" s="50">
        <f t="shared" si="1"/>
        <v>15</v>
      </c>
      <c r="R10" s="50">
        <f t="shared" si="1"/>
        <v>16</v>
      </c>
      <c r="S10" s="50">
        <f t="shared" si="1"/>
        <v>17</v>
      </c>
      <c r="T10" s="50">
        <f t="shared" si="1"/>
        <v>18</v>
      </c>
      <c r="U10" s="50">
        <f t="shared" si="1"/>
        <v>19</v>
      </c>
      <c r="V10" s="50">
        <f t="shared" si="1"/>
        <v>20</v>
      </c>
      <c r="W10" s="50">
        <f t="shared" si="1"/>
        <v>21</v>
      </c>
      <c r="X10" s="593">
        <f t="shared" si="1"/>
        <v>22</v>
      </c>
      <c r="Y10" s="49">
        <f t="shared" si="1"/>
        <v>23</v>
      </c>
      <c r="Z10" s="50">
        <f t="shared" si="1"/>
        <v>24</v>
      </c>
      <c r="AA10" s="50">
        <f t="shared" si="1"/>
        <v>25</v>
      </c>
      <c r="AB10" s="50">
        <f t="shared" si="1"/>
        <v>26</v>
      </c>
      <c r="AC10" s="51">
        <f t="shared" si="1"/>
        <v>27</v>
      </c>
      <c r="AD10" s="49">
        <f aca="true" t="shared" si="2" ref="AD10:AM10">AC10+1</f>
        <v>28</v>
      </c>
      <c r="AE10" s="50">
        <f t="shared" si="2"/>
        <v>29</v>
      </c>
      <c r="AF10" s="50">
        <f t="shared" si="2"/>
        <v>30</v>
      </c>
      <c r="AG10" s="50">
        <f t="shared" si="2"/>
        <v>31</v>
      </c>
      <c r="AH10" s="51">
        <f t="shared" si="2"/>
        <v>32</v>
      </c>
      <c r="AI10" s="49">
        <f t="shared" si="2"/>
        <v>33</v>
      </c>
      <c r="AJ10" s="50">
        <f t="shared" si="2"/>
        <v>34</v>
      </c>
      <c r="AK10" s="50">
        <f t="shared" si="2"/>
        <v>35</v>
      </c>
      <c r="AL10" s="50">
        <f t="shared" si="2"/>
        <v>36</v>
      </c>
      <c r="AM10" s="51">
        <f t="shared" si="2"/>
        <v>37</v>
      </c>
      <c r="AN10" s="600"/>
      <c r="AO10" s="50"/>
      <c r="AP10" s="50"/>
      <c r="AQ10" s="50"/>
      <c r="AR10" s="51"/>
    </row>
    <row r="11" spans="1:44" ht="11.25" customHeight="1">
      <c r="A11" s="134" t="s">
        <v>36</v>
      </c>
      <c r="B11" s="135" t="s">
        <v>128</v>
      </c>
      <c r="C11" s="135" t="s">
        <v>38</v>
      </c>
      <c r="D11" s="135" t="s">
        <v>129</v>
      </c>
      <c r="E11" s="539">
        <f aca="true" t="shared" si="3" ref="E11:AC11">E12+E18+E19+E20</f>
        <v>13.59</v>
      </c>
      <c r="F11" s="539">
        <f t="shared" si="3"/>
        <v>10.72</v>
      </c>
      <c r="G11" s="539">
        <f t="shared" si="3"/>
        <v>1.43</v>
      </c>
      <c r="H11" s="539">
        <f t="shared" si="3"/>
        <v>13.57</v>
      </c>
      <c r="I11" s="539">
        <f t="shared" si="3"/>
        <v>9.77</v>
      </c>
      <c r="J11" s="539">
        <f t="shared" si="3"/>
        <v>14.190000000000001</v>
      </c>
      <c r="K11" s="539">
        <f t="shared" si="3"/>
        <v>10.88</v>
      </c>
      <c r="L11" s="539">
        <f t="shared" si="3"/>
        <v>1.433</v>
      </c>
      <c r="M11" s="539">
        <f t="shared" si="3"/>
        <v>14.157000000000002</v>
      </c>
      <c r="N11" s="539">
        <f t="shared" si="3"/>
        <v>10.222</v>
      </c>
      <c r="O11" s="539">
        <f t="shared" si="3"/>
        <v>13.783</v>
      </c>
      <c r="P11" s="539">
        <f t="shared" si="3"/>
        <v>10.802</v>
      </c>
      <c r="Q11" s="539">
        <f t="shared" si="3"/>
        <v>1.482</v>
      </c>
      <c r="R11" s="539">
        <f t="shared" si="3"/>
        <v>13.761000000000001</v>
      </c>
      <c r="S11" s="539">
        <f t="shared" si="3"/>
        <v>9.958</v>
      </c>
      <c r="T11" s="539">
        <f t="shared" si="3"/>
        <v>13.783</v>
      </c>
      <c r="U11" s="539">
        <f t="shared" si="3"/>
        <v>10.802</v>
      </c>
      <c r="V11" s="539">
        <f t="shared" si="3"/>
        <v>1.482</v>
      </c>
      <c r="W11" s="539">
        <f t="shared" si="3"/>
        <v>13.761000000000001</v>
      </c>
      <c r="X11" s="594">
        <f t="shared" si="3"/>
        <v>9.958</v>
      </c>
      <c r="Y11" s="601">
        <f t="shared" si="3"/>
        <v>15.396</v>
      </c>
      <c r="Z11" s="539">
        <f t="shared" si="3"/>
        <v>14.005</v>
      </c>
      <c r="AA11" s="539">
        <f t="shared" si="3"/>
        <v>1.018</v>
      </c>
      <c r="AB11" s="539">
        <f t="shared" si="3"/>
        <v>15.342</v>
      </c>
      <c r="AC11" s="602">
        <f t="shared" si="3"/>
        <v>10.561</v>
      </c>
      <c r="AD11" s="601">
        <f aca="true" t="shared" si="4" ref="AD11:AM11">AD12+AD18+AD19+AD20</f>
        <v>14.87</v>
      </c>
      <c r="AE11" s="539">
        <f t="shared" si="4"/>
        <v>13.54</v>
      </c>
      <c r="AF11" s="539">
        <f t="shared" si="4"/>
        <v>1.007</v>
      </c>
      <c r="AG11" s="539">
        <f t="shared" si="4"/>
        <v>14.815999999999999</v>
      </c>
      <c r="AH11" s="602">
        <f t="shared" si="4"/>
        <v>10.035</v>
      </c>
      <c r="AI11" s="601">
        <f t="shared" si="4"/>
        <v>15.133000000000001</v>
      </c>
      <c r="AJ11" s="539">
        <f t="shared" si="4"/>
        <v>13.7725</v>
      </c>
      <c r="AK11" s="539">
        <f t="shared" si="4"/>
        <v>1.0125</v>
      </c>
      <c r="AL11" s="539">
        <f t="shared" si="4"/>
        <v>15.079000000000002</v>
      </c>
      <c r="AM11" s="602">
        <f t="shared" si="4"/>
        <v>10.298</v>
      </c>
      <c r="AN11" s="605">
        <f>IF(ISERROR(AI11/O11),0,AI11/O11)</f>
        <v>1.097946745991439</v>
      </c>
      <c r="AO11" s="605">
        <f>IF(ISERROR(AJ11/P11),0,AJ11/P11)</f>
        <v>1.2749953712275506</v>
      </c>
      <c r="AP11" s="605">
        <f>IF(ISERROR(AK11/Q11),0,AK11/Q11)</f>
        <v>0.6831983805668016</v>
      </c>
      <c r="AQ11" s="605">
        <f>IF(ISERROR(AL11/R11),0,AL11/R11)</f>
        <v>1.0957779231160527</v>
      </c>
      <c r="AR11" s="605">
        <f>IF(ISERROR(AM11/S11),0,AM11/S11)</f>
        <v>1.0341434022896163</v>
      </c>
    </row>
    <row r="12" spans="1:44" ht="11.25">
      <c r="A12" s="5" t="s">
        <v>90</v>
      </c>
      <c r="B12" s="39" t="s">
        <v>91</v>
      </c>
      <c r="C12" s="39" t="s">
        <v>41</v>
      </c>
      <c r="D12" s="39" t="s">
        <v>129</v>
      </c>
      <c r="E12" s="540"/>
      <c r="F12" s="520">
        <f>F14+F15+F16+F17</f>
        <v>0</v>
      </c>
      <c r="G12" s="520">
        <f>G14+G15+G16+G17</f>
        <v>0</v>
      </c>
      <c r="H12" s="520">
        <f>H14+H15+H16+H17</f>
        <v>12.13</v>
      </c>
      <c r="I12" s="520">
        <f>I14+I15+I16+I17</f>
        <v>9.77</v>
      </c>
      <c r="J12" s="540"/>
      <c r="K12" s="520">
        <f>K14+K15+K16+K17</f>
        <v>0</v>
      </c>
      <c r="L12" s="520">
        <f>L14+L15+L16+L17</f>
        <v>0</v>
      </c>
      <c r="M12" s="520">
        <f>M14+M15+M16+M17</f>
        <v>12.280000000000001</v>
      </c>
      <c r="N12" s="520">
        <f>N14+N15+N16+N17</f>
        <v>10.222</v>
      </c>
      <c r="O12" s="540"/>
      <c r="P12" s="520">
        <f>P14+P15+P16+P17</f>
        <v>0</v>
      </c>
      <c r="Q12" s="520">
        <f>Q14+Q15+Q16+Q17</f>
        <v>0</v>
      </c>
      <c r="R12" s="520">
        <f>R14+R15+R16+R17</f>
        <v>12.262</v>
      </c>
      <c r="S12" s="520">
        <f>S14+S15+S16+S17</f>
        <v>9.958</v>
      </c>
      <c r="T12" s="540"/>
      <c r="U12" s="520">
        <f>U14+U15+U16+U17</f>
        <v>0</v>
      </c>
      <c r="V12" s="520">
        <f>V14+V15+V16+V17</f>
        <v>0</v>
      </c>
      <c r="W12" s="520">
        <f>W14+W15+W16+W17</f>
        <v>12.262</v>
      </c>
      <c r="X12" s="586">
        <f>X14+X15+X16+X17</f>
        <v>9.958</v>
      </c>
      <c r="Y12" s="522"/>
      <c r="Z12" s="520">
        <f>Z14+Z15+Z16+Z17</f>
        <v>0</v>
      </c>
      <c r="AA12" s="520">
        <f>AA14+AA15+AA16+AA17</f>
        <v>0</v>
      </c>
      <c r="AB12" s="520">
        <f>AB14+AB15+AB16+AB17</f>
        <v>14.969000000000001</v>
      </c>
      <c r="AC12" s="521">
        <f>AC14+AC15+AC16+AC17</f>
        <v>10.561</v>
      </c>
      <c r="AD12" s="522"/>
      <c r="AE12" s="520">
        <f>AE14+AE15+AE16+AE17</f>
        <v>0</v>
      </c>
      <c r="AF12" s="520">
        <f>AF14+AF15+AF16+AF17</f>
        <v>0</v>
      </c>
      <c r="AG12" s="520">
        <f>AG14+AG15+AG16+AG17</f>
        <v>14.492999999999999</v>
      </c>
      <c r="AH12" s="521">
        <f>AH14+AH15+AH16+AH17</f>
        <v>10.035</v>
      </c>
      <c r="AI12" s="522"/>
      <c r="AJ12" s="520">
        <f>AJ14+AJ15+AJ16+AJ17</f>
        <v>0</v>
      </c>
      <c r="AK12" s="520">
        <f>AK14+AK15+AK16+AK17</f>
        <v>0</v>
      </c>
      <c r="AL12" s="520">
        <f>AL14+AL15+AL16+AL17</f>
        <v>14.731000000000002</v>
      </c>
      <c r="AM12" s="521">
        <f>AM14+AM15+AM16+AM17</f>
        <v>10.298</v>
      </c>
      <c r="AN12" s="605">
        <f aca="true" t="shared" si="5" ref="AN12:AN31">IF(ISERROR(AI12/O12),0,AI12/O12)</f>
        <v>0</v>
      </c>
      <c r="AO12" s="605">
        <f aca="true" t="shared" si="6" ref="AO12:AO31">IF(ISERROR(AJ12/P12),0,AJ12/P12)</f>
        <v>0</v>
      </c>
      <c r="AP12" s="605">
        <f aca="true" t="shared" si="7" ref="AP12:AP31">IF(ISERROR(AK12/Q12),0,AK12/Q12)</f>
        <v>0</v>
      </c>
      <c r="AQ12" s="605">
        <f aca="true" t="shared" si="8" ref="AQ12:AQ31">IF(ISERROR(AL12/R12),0,AL12/R12)</f>
        <v>1.2013537758930029</v>
      </c>
      <c r="AR12" s="605">
        <f aca="true" t="shared" si="9" ref="AR12:AR31">IF(ISERROR(AM12/S12),0,AM12/S12)</f>
        <v>1.0341434022896163</v>
      </c>
    </row>
    <row r="13" spans="1:44" ht="11.25">
      <c r="A13" s="5"/>
      <c r="B13" s="39" t="s">
        <v>92</v>
      </c>
      <c r="C13" s="39"/>
      <c r="D13" s="39"/>
      <c r="E13" s="524"/>
      <c r="F13" s="524"/>
      <c r="G13" s="524"/>
      <c r="H13" s="524"/>
      <c r="I13" s="524"/>
      <c r="J13" s="524"/>
      <c r="K13" s="524"/>
      <c r="L13" s="524"/>
      <c r="M13" s="524"/>
      <c r="N13" s="524"/>
      <c r="O13" s="524"/>
      <c r="P13" s="524"/>
      <c r="Q13" s="524"/>
      <c r="R13" s="524"/>
      <c r="S13" s="524"/>
      <c r="T13" s="524"/>
      <c r="U13" s="524"/>
      <c r="V13" s="524"/>
      <c r="W13" s="524"/>
      <c r="X13" s="587"/>
      <c r="Y13" s="523"/>
      <c r="Z13" s="524"/>
      <c r="AA13" s="524"/>
      <c r="AB13" s="524"/>
      <c r="AC13" s="525"/>
      <c r="AD13" s="523"/>
      <c r="AE13" s="524"/>
      <c r="AF13" s="524"/>
      <c r="AG13" s="524"/>
      <c r="AH13" s="525"/>
      <c r="AI13" s="523"/>
      <c r="AJ13" s="524"/>
      <c r="AK13" s="524"/>
      <c r="AL13" s="524"/>
      <c r="AM13" s="525"/>
      <c r="AN13" s="605">
        <f t="shared" si="5"/>
        <v>0</v>
      </c>
      <c r="AO13" s="605">
        <f t="shared" si="6"/>
        <v>0</v>
      </c>
      <c r="AP13" s="605">
        <f t="shared" si="7"/>
        <v>0</v>
      </c>
      <c r="AQ13" s="605">
        <f t="shared" si="8"/>
        <v>0</v>
      </c>
      <c r="AR13" s="605">
        <f t="shared" si="9"/>
        <v>0</v>
      </c>
    </row>
    <row r="14" spans="1:44" ht="11.25">
      <c r="A14" s="5"/>
      <c r="B14" s="39" t="s">
        <v>93</v>
      </c>
      <c r="C14" s="39" t="s">
        <v>140</v>
      </c>
      <c r="D14" s="39" t="s">
        <v>129</v>
      </c>
      <c r="E14" s="524"/>
      <c r="F14" s="551"/>
      <c r="G14" s="551"/>
      <c r="H14" s="551"/>
      <c r="I14" s="551"/>
      <c r="J14" s="524"/>
      <c r="K14" s="551"/>
      <c r="L14" s="551"/>
      <c r="M14" s="551"/>
      <c r="N14" s="551"/>
      <c r="O14" s="524"/>
      <c r="P14" s="551"/>
      <c r="Q14" s="551"/>
      <c r="R14" s="551"/>
      <c r="S14" s="551"/>
      <c r="T14" s="524"/>
      <c r="U14" s="551"/>
      <c r="V14" s="551"/>
      <c r="W14" s="551"/>
      <c r="X14" s="551"/>
      <c r="Y14" s="523"/>
      <c r="Z14" s="526"/>
      <c r="AA14" s="526"/>
      <c r="AB14" s="526"/>
      <c r="AC14" s="527"/>
      <c r="AD14" s="523"/>
      <c r="AE14" s="526"/>
      <c r="AF14" s="526"/>
      <c r="AG14" s="526"/>
      <c r="AH14" s="527"/>
      <c r="AI14" s="523"/>
      <c r="AJ14" s="706"/>
      <c r="AK14" s="706"/>
      <c r="AL14" s="706"/>
      <c r="AM14" s="707"/>
      <c r="AN14" s="605">
        <f t="shared" si="5"/>
        <v>0</v>
      </c>
      <c r="AO14" s="605">
        <f t="shared" si="6"/>
        <v>0</v>
      </c>
      <c r="AP14" s="605">
        <f t="shared" si="7"/>
        <v>0</v>
      </c>
      <c r="AQ14" s="605">
        <f t="shared" si="8"/>
        <v>0</v>
      </c>
      <c r="AR14" s="605">
        <f t="shared" si="9"/>
        <v>0</v>
      </c>
    </row>
    <row r="15" spans="1:44" ht="11.25">
      <c r="A15" s="5"/>
      <c r="B15" s="39" t="s">
        <v>28</v>
      </c>
      <c r="C15" s="39" t="s">
        <v>141</v>
      </c>
      <c r="D15" s="39" t="s">
        <v>129</v>
      </c>
      <c r="E15" s="524"/>
      <c r="F15" s="553"/>
      <c r="G15" s="553"/>
      <c r="H15" s="553">
        <v>10.72</v>
      </c>
      <c r="I15" s="553"/>
      <c r="J15" s="524"/>
      <c r="K15" s="553"/>
      <c r="L15" s="553"/>
      <c r="M15" s="553">
        <v>10.88</v>
      </c>
      <c r="N15" s="553"/>
      <c r="O15" s="524"/>
      <c r="P15" s="553"/>
      <c r="Q15" s="553"/>
      <c r="R15" s="553">
        <v>10.802</v>
      </c>
      <c r="S15" s="553"/>
      <c r="T15" s="524"/>
      <c r="U15" s="553"/>
      <c r="V15" s="553"/>
      <c r="W15" s="553">
        <v>10.802</v>
      </c>
      <c r="X15" s="553"/>
      <c r="Y15" s="523"/>
      <c r="Z15" s="528"/>
      <c r="AA15" s="528"/>
      <c r="AB15" s="528">
        <v>14.005</v>
      </c>
      <c r="AC15" s="529"/>
      <c r="AD15" s="523"/>
      <c r="AE15" s="528"/>
      <c r="AF15" s="528"/>
      <c r="AG15" s="528">
        <v>13.54</v>
      </c>
      <c r="AH15" s="529"/>
      <c r="AI15" s="523"/>
      <c r="AJ15" s="708"/>
      <c r="AK15" s="708"/>
      <c r="AL15" s="708">
        <v>13.7725</v>
      </c>
      <c r="AM15" s="709"/>
      <c r="AN15" s="605">
        <f t="shared" si="5"/>
        <v>0</v>
      </c>
      <c r="AO15" s="605">
        <f t="shared" si="6"/>
        <v>0</v>
      </c>
      <c r="AP15" s="605">
        <f t="shared" si="7"/>
        <v>0</v>
      </c>
      <c r="AQ15" s="605">
        <f t="shared" si="8"/>
        <v>1.2749953712275506</v>
      </c>
      <c r="AR15" s="605">
        <f t="shared" si="9"/>
        <v>0</v>
      </c>
    </row>
    <row r="16" spans="1:44" ht="11.25">
      <c r="A16" s="5"/>
      <c r="B16" s="39" t="s">
        <v>29</v>
      </c>
      <c r="C16" s="39" t="s">
        <v>142</v>
      </c>
      <c r="D16" s="39" t="s">
        <v>129</v>
      </c>
      <c r="E16" s="524"/>
      <c r="F16" s="553"/>
      <c r="G16" s="553"/>
      <c r="H16" s="553">
        <v>1.41</v>
      </c>
      <c r="I16" s="553"/>
      <c r="J16" s="524"/>
      <c r="K16" s="553"/>
      <c r="L16" s="553"/>
      <c r="M16" s="553">
        <v>1.4</v>
      </c>
      <c r="N16" s="553"/>
      <c r="O16" s="524"/>
      <c r="P16" s="553"/>
      <c r="Q16" s="553"/>
      <c r="R16" s="553">
        <v>1.46</v>
      </c>
      <c r="S16" s="553"/>
      <c r="T16" s="524"/>
      <c r="U16" s="553"/>
      <c r="V16" s="553"/>
      <c r="W16" s="553">
        <v>1.46</v>
      </c>
      <c r="X16" s="553"/>
      <c r="Y16" s="523"/>
      <c r="Z16" s="528"/>
      <c r="AA16" s="528"/>
      <c r="AB16" s="528">
        <v>0.964</v>
      </c>
      <c r="AC16" s="529"/>
      <c r="AD16" s="523"/>
      <c r="AE16" s="528"/>
      <c r="AF16" s="528"/>
      <c r="AG16" s="528">
        <v>0.953</v>
      </c>
      <c r="AH16" s="529"/>
      <c r="AI16" s="523"/>
      <c r="AJ16" s="708"/>
      <c r="AK16" s="708"/>
      <c r="AL16" s="708">
        <v>0.9585</v>
      </c>
      <c r="AM16" s="709"/>
      <c r="AN16" s="605">
        <f t="shared" si="5"/>
        <v>0</v>
      </c>
      <c r="AO16" s="605">
        <f t="shared" si="6"/>
        <v>0</v>
      </c>
      <c r="AP16" s="605">
        <f t="shared" si="7"/>
        <v>0</v>
      </c>
      <c r="AQ16" s="605">
        <f t="shared" si="8"/>
        <v>0.6565068493150685</v>
      </c>
      <c r="AR16" s="605">
        <f t="shared" si="9"/>
        <v>0</v>
      </c>
    </row>
    <row r="17" spans="1:44" ht="11.25">
      <c r="A17" s="5"/>
      <c r="B17" s="39" t="s">
        <v>30</v>
      </c>
      <c r="C17" s="39" t="s">
        <v>143</v>
      </c>
      <c r="D17" s="39" t="s">
        <v>129</v>
      </c>
      <c r="E17" s="524"/>
      <c r="F17" s="553"/>
      <c r="G17" s="553"/>
      <c r="H17" s="553"/>
      <c r="I17" s="553">
        <v>9.77</v>
      </c>
      <c r="J17" s="524"/>
      <c r="K17" s="553"/>
      <c r="L17" s="553"/>
      <c r="M17" s="553"/>
      <c r="N17" s="553">
        <v>10.222</v>
      </c>
      <c r="O17" s="524"/>
      <c r="P17" s="553"/>
      <c r="Q17" s="553"/>
      <c r="R17" s="553"/>
      <c r="S17" s="553">
        <v>9.958</v>
      </c>
      <c r="T17" s="524"/>
      <c r="U17" s="553"/>
      <c r="V17" s="553"/>
      <c r="W17" s="553"/>
      <c r="X17" s="553">
        <v>9.958</v>
      </c>
      <c r="Y17" s="523"/>
      <c r="Z17" s="528"/>
      <c r="AA17" s="528"/>
      <c r="AB17" s="528"/>
      <c r="AC17" s="529">
        <v>10.561</v>
      </c>
      <c r="AD17" s="523"/>
      <c r="AE17" s="528"/>
      <c r="AF17" s="528"/>
      <c r="AG17" s="528"/>
      <c r="AH17" s="529">
        <v>10.035</v>
      </c>
      <c r="AI17" s="523"/>
      <c r="AJ17" s="708"/>
      <c r="AK17" s="708"/>
      <c r="AL17" s="708"/>
      <c r="AM17" s="709">
        <v>10.298</v>
      </c>
      <c r="AN17" s="605">
        <f t="shared" si="5"/>
        <v>0</v>
      </c>
      <c r="AO17" s="605">
        <f t="shared" si="6"/>
        <v>0</v>
      </c>
      <c r="AP17" s="605">
        <f t="shared" si="7"/>
        <v>0</v>
      </c>
      <c r="AQ17" s="605">
        <f t="shared" si="8"/>
        <v>0</v>
      </c>
      <c r="AR17" s="605">
        <f t="shared" si="9"/>
        <v>1.0341434022896163</v>
      </c>
    </row>
    <row r="18" spans="1:44" ht="11.25">
      <c r="A18" s="5" t="s">
        <v>94</v>
      </c>
      <c r="B18" s="39" t="s">
        <v>95</v>
      </c>
      <c r="C18" s="39" t="s">
        <v>44</v>
      </c>
      <c r="D18" s="39" t="s">
        <v>129</v>
      </c>
      <c r="E18" s="520">
        <f>SUM(F18:I18)</f>
        <v>0</v>
      </c>
      <c r="F18" s="553"/>
      <c r="G18" s="553"/>
      <c r="H18" s="553"/>
      <c r="I18" s="553"/>
      <c r="J18" s="520">
        <f>SUM(K18:N18)</f>
        <v>0</v>
      </c>
      <c r="K18" s="553"/>
      <c r="L18" s="553"/>
      <c r="M18" s="553"/>
      <c r="N18" s="553"/>
      <c r="O18" s="520">
        <f>SUM(P18:S18)</f>
        <v>0</v>
      </c>
      <c r="P18" s="553"/>
      <c r="Q18" s="553"/>
      <c r="R18" s="553"/>
      <c r="S18" s="553"/>
      <c r="T18" s="520">
        <f>SUM(U18:X18)</f>
        <v>0</v>
      </c>
      <c r="U18" s="553"/>
      <c r="V18" s="553"/>
      <c r="W18" s="553"/>
      <c r="X18" s="553"/>
      <c r="Y18" s="519">
        <f>SUM(Z18:AC18)</f>
        <v>0</v>
      </c>
      <c r="Z18" s="528"/>
      <c r="AA18" s="528"/>
      <c r="AB18" s="528"/>
      <c r="AC18" s="529"/>
      <c r="AD18" s="519">
        <f>SUM(AE18:AH18)</f>
        <v>0</v>
      </c>
      <c r="AE18" s="528"/>
      <c r="AF18" s="528"/>
      <c r="AG18" s="528"/>
      <c r="AH18" s="529"/>
      <c r="AI18" s="519">
        <f>SUM(AJ18:AM18)</f>
        <v>0</v>
      </c>
      <c r="AJ18" s="708"/>
      <c r="AK18" s="708"/>
      <c r="AL18" s="708"/>
      <c r="AM18" s="709"/>
      <c r="AN18" s="605">
        <f t="shared" si="5"/>
        <v>0</v>
      </c>
      <c r="AO18" s="605">
        <f t="shared" si="6"/>
        <v>0</v>
      </c>
      <c r="AP18" s="605">
        <f t="shared" si="7"/>
        <v>0</v>
      </c>
      <c r="AQ18" s="605">
        <f t="shared" si="8"/>
        <v>0</v>
      </c>
      <c r="AR18" s="605">
        <f t="shared" si="9"/>
        <v>0</v>
      </c>
    </row>
    <row r="19" spans="1:44" ht="11.25">
      <c r="A19" s="5" t="s">
        <v>96</v>
      </c>
      <c r="B19" s="39" t="s">
        <v>97</v>
      </c>
      <c r="C19" s="39" t="s">
        <v>47</v>
      </c>
      <c r="D19" s="39" t="s">
        <v>129</v>
      </c>
      <c r="E19" s="520">
        <f>SUM(F19:I19)</f>
        <v>0</v>
      </c>
      <c r="F19" s="553"/>
      <c r="G19" s="553"/>
      <c r="H19" s="553"/>
      <c r="I19" s="553"/>
      <c r="J19" s="520">
        <f>SUM(K19:N19)</f>
        <v>0</v>
      </c>
      <c r="K19" s="553"/>
      <c r="L19" s="553"/>
      <c r="M19" s="553"/>
      <c r="N19" s="553"/>
      <c r="O19" s="520">
        <f>SUM(P19:S19)</f>
        <v>0</v>
      </c>
      <c r="P19" s="553"/>
      <c r="Q19" s="553"/>
      <c r="R19" s="553"/>
      <c r="S19" s="553"/>
      <c r="T19" s="520">
        <f>SUM(U19:X19)</f>
        <v>0</v>
      </c>
      <c r="U19" s="553"/>
      <c r="V19" s="553"/>
      <c r="W19" s="553"/>
      <c r="X19" s="553"/>
      <c r="Y19" s="519">
        <f>SUM(Z19:AC19)</f>
        <v>0</v>
      </c>
      <c r="Z19" s="528"/>
      <c r="AA19" s="528"/>
      <c r="AB19" s="528"/>
      <c r="AC19" s="529"/>
      <c r="AD19" s="519">
        <f>SUM(AE19:AH19)</f>
        <v>0</v>
      </c>
      <c r="AE19" s="528"/>
      <c r="AF19" s="528"/>
      <c r="AG19" s="528"/>
      <c r="AH19" s="529"/>
      <c r="AI19" s="519">
        <f>SUM(AJ19:AM19)</f>
        <v>0</v>
      </c>
      <c r="AJ19" s="708"/>
      <c r="AK19" s="708"/>
      <c r="AL19" s="708"/>
      <c r="AM19" s="709"/>
      <c r="AN19" s="605">
        <f t="shared" si="5"/>
        <v>0</v>
      </c>
      <c r="AO19" s="605">
        <f t="shared" si="6"/>
        <v>0</v>
      </c>
      <c r="AP19" s="605">
        <f t="shared" si="7"/>
        <v>0</v>
      </c>
      <c r="AQ19" s="605">
        <f t="shared" si="8"/>
        <v>0</v>
      </c>
      <c r="AR19" s="605">
        <f t="shared" si="9"/>
        <v>0</v>
      </c>
    </row>
    <row r="20" spans="1:44" ht="11.25">
      <c r="A20" s="5" t="s">
        <v>98</v>
      </c>
      <c r="B20" s="39" t="s">
        <v>130</v>
      </c>
      <c r="C20" s="39" t="s">
        <v>50</v>
      </c>
      <c r="D20" s="39" t="s">
        <v>129</v>
      </c>
      <c r="E20" s="520">
        <f>SUM(F20:I20)</f>
        <v>13.59</v>
      </c>
      <c r="F20" s="553">
        <v>10.72</v>
      </c>
      <c r="G20" s="553">
        <v>1.43</v>
      </c>
      <c r="H20" s="553">
        <v>1.44</v>
      </c>
      <c r="I20" s="553"/>
      <c r="J20" s="520">
        <f>SUM(K20:N20)</f>
        <v>14.190000000000001</v>
      </c>
      <c r="K20" s="553">
        <v>10.88</v>
      </c>
      <c r="L20" s="553">
        <v>1.433</v>
      </c>
      <c r="M20" s="553">
        <v>1.877</v>
      </c>
      <c r="N20" s="553"/>
      <c r="O20" s="520">
        <f>SUM(P20:S20)</f>
        <v>13.783</v>
      </c>
      <c r="P20" s="553">
        <v>10.802</v>
      </c>
      <c r="Q20" s="553">
        <v>1.482</v>
      </c>
      <c r="R20" s="553">
        <v>1.499</v>
      </c>
      <c r="S20" s="553"/>
      <c r="T20" s="520">
        <f>SUM(U20:X20)</f>
        <v>13.783</v>
      </c>
      <c r="U20" s="553">
        <v>10.802</v>
      </c>
      <c r="V20" s="553">
        <v>1.482</v>
      </c>
      <c r="W20" s="553">
        <v>1.499</v>
      </c>
      <c r="X20" s="553"/>
      <c r="Y20" s="519">
        <f>SUM(Z20:AC20)</f>
        <v>15.396</v>
      </c>
      <c r="Z20" s="528">
        <v>14.005</v>
      </c>
      <c r="AA20" s="528">
        <v>1.018</v>
      </c>
      <c r="AB20" s="528">
        <v>0.373</v>
      </c>
      <c r="AC20" s="529"/>
      <c r="AD20" s="519">
        <f>SUM(AE20:AH20)</f>
        <v>14.87</v>
      </c>
      <c r="AE20" s="528">
        <v>13.54</v>
      </c>
      <c r="AF20" s="528">
        <v>1.007</v>
      </c>
      <c r="AG20" s="528">
        <v>0.323</v>
      </c>
      <c r="AH20" s="529"/>
      <c r="AI20" s="519">
        <f>SUM(AJ20:AM20)</f>
        <v>15.133000000000001</v>
      </c>
      <c r="AJ20" s="708">
        <v>13.7725</v>
      </c>
      <c r="AK20" s="708">
        <v>1.0125</v>
      </c>
      <c r="AL20" s="708">
        <v>0.348</v>
      </c>
      <c r="AM20" s="709"/>
      <c r="AN20" s="605">
        <f t="shared" si="5"/>
        <v>1.097946745991439</v>
      </c>
      <c r="AO20" s="605">
        <f t="shared" si="6"/>
        <v>1.2749953712275506</v>
      </c>
      <c r="AP20" s="605">
        <f t="shared" si="7"/>
        <v>0.6831983805668016</v>
      </c>
      <c r="AQ20" s="605">
        <f t="shared" si="8"/>
        <v>0.23215476984656433</v>
      </c>
      <c r="AR20" s="605">
        <f t="shared" si="9"/>
        <v>0</v>
      </c>
    </row>
    <row r="21" spans="1:44" ht="11.25">
      <c r="A21" s="5" t="s">
        <v>69</v>
      </c>
      <c r="B21" s="39" t="s">
        <v>131</v>
      </c>
      <c r="C21" s="39" t="s">
        <v>71</v>
      </c>
      <c r="D21" s="39" t="s">
        <v>129</v>
      </c>
      <c r="E21" s="520">
        <f>SUM(F21:I21)</f>
        <v>1.59</v>
      </c>
      <c r="F21" s="556"/>
      <c r="G21" s="556">
        <v>0.02</v>
      </c>
      <c r="H21" s="556">
        <v>0.54</v>
      </c>
      <c r="I21" s="556">
        <v>1.03</v>
      </c>
      <c r="J21" s="520">
        <f>SUM(K21:N21)</f>
        <v>1.665</v>
      </c>
      <c r="K21" s="556"/>
      <c r="L21" s="556">
        <v>0.03</v>
      </c>
      <c r="M21" s="556">
        <v>0.605</v>
      </c>
      <c r="N21" s="556">
        <v>1.03</v>
      </c>
      <c r="O21" s="520">
        <f>SUM(P21:S21)</f>
        <v>1.609</v>
      </c>
      <c r="P21" s="556"/>
      <c r="Q21" s="556">
        <v>0.022</v>
      </c>
      <c r="R21" s="556">
        <v>0.546</v>
      </c>
      <c r="S21" s="556">
        <v>1.041</v>
      </c>
      <c r="T21" s="520">
        <f>SUM(U21:X21)</f>
        <v>1.609</v>
      </c>
      <c r="U21" s="556"/>
      <c r="V21" s="556">
        <v>0.022</v>
      </c>
      <c r="W21" s="556">
        <v>0.546</v>
      </c>
      <c r="X21" s="556">
        <v>1.041</v>
      </c>
      <c r="Y21" s="519">
        <f>SUM(Z21:AC21)</f>
        <v>1.7200000000000002</v>
      </c>
      <c r="Z21" s="541"/>
      <c r="AA21" s="541">
        <v>0.051</v>
      </c>
      <c r="AB21" s="541">
        <v>0.607</v>
      </c>
      <c r="AC21" s="542">
        <v>1.062</v>
      </c>
      <c r="AD21" s="519">
        <f>SUM(AE21:AH21)</f>
        <v>1.75</v>
      </c>
      <c r="AE21" s="541"/>
      <c r="AF21" s="541">
        <v>0.051</v>
      </c>
      <c r="AG21" s="541">
        <v>0.607</v>
      </c>
      <c r="AH21" s="542">
        <v>1.092</v>
      </c>
      <c r="AI21" s="519">
        <f>SUM(AJ21:AM21)</f>
        <v>1.7349999999999999</v>
      </c>
      <c r="AJ21" s="710"/>
      <c r="AK21" s="710">
        <v>0.051</v>
      </c>
      <c r="AL21" s="710">
        <v>0.607</v>
      </c>
      <c r="AM21" s="711">
        <v>1.077</v>
      </c>
      <c r="AN21" s="605">
        <f t="shared" si="5"/>
        <v>1.0783095090118084</v>
      </c>
      <c r="AO21" s="605">
        <f t="shared" si="6"/>
        <v>0</v>
      </c>
      <c r="AP21" s="605">
        <f t="shared" si="7"/>
        <v>2.3181818181818183</v>
      </c>
      <c r="AQ21" s="605">
        <f t="shared" si="8"/>
        <v>1.1117216117216115</v>
      </c>
      <c r="AR21" s="605">
        <f t="shared" si="9"/>
        <v>1.0345821325648414</v>
      </c>
    </row>
    <row r="22" spans="1:44" ht="11.25">
      <c r="A22" s="5"/>
      <c r="B22" s="39" t="s">
        <v>132</v>
      </c>
      <c r="C22" s="39" t="s">
        <v>74</v>
      </c>
      <c r="D22" s="39" t="s">
        <v>102</v>
      </c>
      <c r="E22" s="540"/>
      <c r="F22" s="530">
        <f>IF(F11=0,0,F21/F11*100)</f>
        <v>0</v>
      </c>
      <c r="G22" s="530">
        <f>IF(G11=0,0,G21/G11*100)</f>
        <v>1.3986013986013988</v>
      </c>
      <c r="H22" s="530">
        <f>IF(H11=0,0,H21/H11*100)</f>
        <v>3.9793662490788506</v>
      </c>
      <c r="I22" s="530">
        <f>IF(I11=0,0,I21/I11*100)</f>
        <v>10.542476970317297</v>
      </c>
      <c r="J22" s="540"/>
      <c r="K22" s="530">
        <f>IF(K11=0,0,K21/K11*100)</f>
        <v>0</v>
      </c>
      <c r="L22" s="530">
        <f>IF(L11=0,0,L21/L11*100)</f>
        <v>2.09351011863224</v>
      </c>
      <c r="M22" s="530">
        <f>IF(M11=0,0,M21/M11*100)</f>
        <v>4.2735042735042725</v>
      </c>
      <c r="N22" s="530">
        <f>IF(N11=0,0,N21/N11*100)</f>
        <v>10.076306006652318</v>
      </c>
      <c r="O22" s="540"/>
      <c r="P22" s="530">
        <f>IF(P11=0,0,P21/P11*100)</f>
        <v>0</v>
      </c>
      <c r="Q22" s="530">
        <f>IF(Q11=0,0,Q21/Q11*100)</f>
        <v>1.484480431848853</v>
      </c>
      <c r="R22" s="530">
        <f>IF(R11=0,0,R21/R11*100)</f>
        <v>3.967734902986701</v>
      </c>
      <c r="S22" s="530">
        <f>IF(S11=0,0,S21/S11*100)</f>
        <v>10.453906406909017</v>
      </c>
      <c r="T22" s="540"/>
      <c r="U22" s="530">
        <f>IF(U11=0,0,U21/U11*100)</f>
        <v>0</v>
      </c>
      <c r="V22" s="530">
        <f>IF(V11=0,0,V21/V11*100)</f>
        <v>1.484480431848853</v>
      </c>
      <c r="W22" s="530">
        <f>IF(W11=0,0,W21/W11*100)</f>
        <v>3.967734902986701</v>
      </c>
      <c r="X22" s="588">
        <f>IF(X11=0,0,X21/X11*100)</f>
        <v>10.453906406909017</v>
      </c>
      <c r="Y22" s="522"/>
      <c r="Z22" s="530">
        <f>IF(Z11=0,0,Z21/Z11*100)</f>
        <v>0</v>
      </c>
      <c r="AA22" s="530">
        <f>IF(AA11=0,0,AA21/AA11*100)</f>
        <v>5.009823182711198</v>
      </c>
      <c r="AB22" s="530">
        <f>IF(AB11=0,0,AB21/AB11*100)</f>
        <v>3.9564593925172726</v>
      </c>
      <c r="AC22" s="555">
        <f>IF(AC11=0,0,AC21/AC11*100)</f>
        <v>10.05586592178771</v>
      </c>
      <c r="AD22" s="522"/>
      <c r="AE22" s="530">
        <f>IF(AE11=0,0,AE21/AE11*100)</f>
        <v>0</v>
      </c>
      <c r="AF22" s="530">
        <f>IF(AF11=0,0,AF21/AF11*100)</f>
        <v>5.06454816285998</v>
      </c>
      <c r="AG22" s="530">
        <f>IF(AG11=0,0,AG21/AG11*100)</f>
        <v>4.096922246220302</v>
      </c>
      <c r="AH22" s="555">
        <f>IF(AH11=0,0,AH21/AH11*100)</f>
        <v>10.881913303437967</v>
      </c>
      <c r="AI22" s="522"/>
      <c r="AJ22" s="530">
        <f>IF(AJ11=0,0,AJ21/AJ11*100)</f>
        <v>0</v>
      </c>
      <c r="AK22" s="530">
        <f>IF(AK11=0,0,AK21/AK11*100)</f>
        <v>5.037037037037037</v>
      </c>
      <c r="AL22" s="530">
        <f>IF(AL11=0,0,AL21/AL11*100)</f>
        <v>4.025465879700245</v>
      </c>
      <c r="AM22" s="555">
        <f>IF(AM11=0,0,AM21/AM11*100)</f>
        <v>10.458341425519519</v>
      </c>
      <c r="AN22" s="605">
        <f t="shared" si="5"/>
        <v>0</v>
      </c>
      <c r="AO22" s="605">
        <f t="shared" si="6"/>
        <v>0</v>
      </c>
      <c r="AP22" s="605">
        <f t="shared" si="7"/>
        <v>3.393131313131313</v>
      </c>
      <c r="AQ22" s="605">
        <f t="shared" si="8"/>
        <v>1.0145501093508256</v>
      </c>
      <c r="AR22" s="605">
        <f t="shared" si="9"/>
        <v>1.000424245103971</v>
      </c>
    </row>
    <row r="23" spans="1:44" ht="11.25">
      <c r="A23" s="5" t="s">
        <v>75</v>
      </c>
      <c r="B23" s="39" t="s">
        <v>133</v>
      </c>
      <c r="C23" s="39" t="s">
        <v>77</v>
      </c>
      <c r="D23" s="39" t="s">
        <v>129</v>
      </c>
      <c r="E23" s="520">
        <f>SUM(F23:I23)</f>
        <v>0.07</v>
      </c>
      <c r="F23" s="531"/>
      <c r="G23" s="531"/>
      <c r="H23" s="531">
        <v>0.07</v>
      </c>
      <c r="I23" s="531"/>
      <c r="J23" s="520">
        <f>SUM(K23:N23)</f>
        <v>0.13</v>
      </c>
      <c r="K23" s="531"/>
      <c r="L23" s="531"/>
      <c r="M23" s="531">
        <v>0.13</v>
      </c>
      <c r="N23" s="531"/>
      <c r="O23" s="520">
        <f>SUM(P23:S23)</f>
        <v>0.07</v>
      </c>
      <c r="P23" s="531"/>
      <c r="Q23" s="531"/>
      <c r="R23" s="531">
        <v>0.07</v>
      </c>
      <c r="S23" s="531"/>
      <c r="T23" s="520">
        <f>SUM(U23:X23)</f>
        <v>0.07</v>
      </c>
      <c r="U23" s="531"/>
      <c r="V23" s="531"/>
      <c r="W23" s="531">
        <v>0.07</v>
      </c>
      <c r="X23" s="598"/>
      <c r="Y23" s="519">
        <f>SUM(Z23:AC23)</f>
        <v>0.13</v>
      </c>
      <c r="Z23" s="531"/>
      <c r="AA23" s="531"/>
      <c r="AB23" s="531">
        <v>0.13</v>
      </c>
      <c r="AC23" s="532"/>
      <c r="AD23" s="519">
        <f>SUM(AE23:AH23)</f>
        <v>0.13</v>
      </c>
      <c r="AE23" s="531"/>
      <c r="AF23" s="531"/>
      <c r="AG23" s="531">
        <v>0.13</v>
      </c>
      <c r="AH23" s="532"/>
      <c r="AI23" s="519">
        <f>SUM(AJ23:AM23)</f>
        <v>0.13</v>
      </c>
      <c r="AJ23" s="531"/>
      <c r="AK23" s="531"/>
      <c r="AL23" s="712">
        <v>0.13</v>
      </c>
      <c r="AM23" s="532"/>
      <c r="AN23" s="605">
        <f t="shared" si="5"/>
        <v>1.857142857142857</v>
      </c>
      <c r="AO23" s="605">
        <f t="shared" si="6"/>
        <v>0</v>
      </c>
      <c r="AP23" s="605">
        <f t="shared" si="7"/>
        <v>0</v>
      </c>
      <c r="AQ23" s="605">
        <f t="shared" si="8"/>
        <v>1.857142857142857</v>
      </c>
      <c r="AR23" s="605">
        <f t="shared" si="9"/>
        <v>0</v>
      </c>
    </row>
    <row r="24" spans="1:44" ht="11.25">
      <c r="A24" s="63" t="s">
        <v>78</v>
      </c>
      <c r="B24" s="139" t="s">
        <v>134</v>
      </c>
      <c r="C24" s="39" t="s">
        <v>80</v>
      </c>
      <c r="D24" s="39" t="s">
        <v>129</v>
      </c>
      <c r="E24" s="520">
        <f>SUM(F24:I24)</f>
        <v>33.830000000000005</v>
      </c>
      <c r="F24" s="520">
        <f>F11-F21-F23</f>
        <v>10.72</v>
      </c>
      <c r="G24" s="520">
        <f>G11-G21-G23</f>
        <v>1.41</v>
      </c>
      <c r="H24" s="520">
        <f>H11-H21-H23</f>
        <v>12.96</v>
      </c>
      <c r="I24" s="520">
        <f>I11-I21-I23</f>
        <v>8.74</v>
      </c>
      <c r="J24" s="520">
        <f>SUM(K24:N24)</f>
        <v>34.897000000000006</v>
      </c>
      <c r="K24" s="520">
        <f>K11-K21-K23</f>
        <v>10.88</v>
      </c>
      <c r="L24" s="520">
        <f>L11-L21-L23</f>
        <v>1.403</v>
      </c>
      <c r="M24" s="520">
        <f>M11-M21-M23</f>
        <v>13.422</v>
      </c>
      <c r="N24" s="520">
        <f>N11-N21-N23</f>
        <v>9.192</v>
      </c>
      <c r="O24" s="520">
        <f>SUM(P24:S24)</f>
        <v>34.324000000000005</v>
      </c>
      <c r="P24" s="520">
        <f>P11-P21-P23</f>
        <v>10.802</v>
      </c>
      <c r="Q24" s="520">
        <f>Q11-Q21-Q23</f>
        <v>1.46</v>
      </c>
      <c r="R24" s="520">
        <f>R11-R21-R23</f>
        <v>13.145000000000001</v>
      </c>
      <c r="S24" s="520">
        <f>S11-S21-S23</f>
        <v>8.917</v>
      </c>
      <c r="T24" s="520">
        <f>SUM(U24:X24)</f>
        <v>34.324000000000005</v>
      </c>
      <c r="U24" s="520">
        <f>U11-U21-U23</f>
        <v>10.802</v>
      </c>
      <c r="V24" s="520">
        <f>V11-V21-V23</f>
        <v>1.46</v>
      </c>
      <c r="W24" s="520">
        <f>W11-W21-W23</f>
        <v>13.145000000000001</v>
      </c>
      <c r="X24" s="586">
        <f>X11-X21-X23</f>
        <v>8.917</v>
      </c>
      <c r="Y24" s="519">
        <f>SUM(Z24:AC24)</f>
        <v>39.076</v>
      </c>
      <c r="Z24" s="520">
        <f>Z11-Z21-Z23</f>
        <v>14.005</v>
      </c>
      <c r="AA24" s="520">
        <f>AA11-AA21-AA23</f>
        <v>0.967</v>
      </c>
      <c r="AB24" s="520">
        <f>AB11-AB21-AB23</f>
        <v>14.605</v>
      </c>
      <c r="AC24" s="521">
        <f>AC11-AC21-AC23</f>
        <v>9.499</v>
      </c>
      <c r="AD24" s="519">
        <f>SUM(AE24:AH24)</f>
        <v>37.517999999999994</v>
      </c>
      <c r="AE24" s="520">
        <f>AE11-AE21-AE23</f>
        <v>13.54</v>
      </c>
      <c r="AF24" s="520">
        <f>AF11-AF21-AF23</f>
        <v>0.9559999999999998</v>
      </c>
      <c r="AG24" s="520">
        <f>AG11-AG21-AG23</f>
        <v>14.078999999999999</v>
      </c>
      <c r="AH24" s="521">
        <f>AH11-AH21-AH23</f>
        <v>8.943</v>
      </c>
      <c r="AI24" s="519">
        <f>SUM(AJ24:AM24)</f>
        <v>38.297</v>
      </c>
      <c r="AJ24" s="520">
        <f>AJ11-AJ21-AJ23</f>
        <v>13.7725</v>
      </c>
      <c r="AK24" s="520">
        <f>AK11-AK21-AK23</f>
        <v>0.9614999999999999</v>
      </c>
      <c r="AL24" s="520">
        <f>AL11-AL21-AL23</f>
        <v>14.342000000000002</v>
      </c>
      <c r="AM24" s="521">
        <f>AM11-AM21-AM23</f>
        <v>9.221</v>
      </c>
      <c r="AN24" s="605">
        <f t="shared" si="5"/>
        <v>1.1157499125975991</v>
      </c>
      <c r="AO24" s="605">
        <f t="shared" si="6"/>
        <v>1.2749953712275506</v>
      </c>
      <c r="AP24" s="605">
        <f t="shared" si="7"/>
        <v>0.6585616438356164</v>
      </c>
      <c r="AQ24" s="605">
        <f t="shared" si="8"/>
        <v>1.0910612400152149</v>
      </c>
      <c r="AR24" s="605">
        <f t="shared" si="9"/>
        <v>1.034092183469777</v>
      </c>
    </row>
    <row r="25" spans="1:44" ht="22.5">
      <c r="A25" s="5" t="s">
        <v>105</v>
      </c>
      <c r="B25" s="39" t="s">
        <v>1245</v>
      </c>
      <c r="C25" s="39" t="s">
        <v>107</v>
      </c>
      <c r="D25" s="39" t="s">
        <v>129</v>
      </c>
      <c r="E25" s="520">
        <f>SUM(F25:I25)</f>
        <v>11.93</v>
      </c>
      <c r="F25" s="553"/>
      <c r="G25" s="553"/>
      <c r="H25" s="553">
        <v>3.19</v>
      </c>
      <c r="I25" s="553">
        <v>8.74</v>
      </c>
      <c r="J25" s="520">
        <f>SUM(K25:N25)</f>
        <v>12.395</v>
      </c>
      <c r="K25" s="553"/>
      <c r="L25" s="553">
        <v>0.003</v>
      </c>
      <c r="M25" s="553">
        <v>3.2</v>
      </c>
      <c r="N25" s="553">
        <v>9.192</v>
      </c>
      <c r="O25" s="520">
        <f>SUM(P25:S25)</f>
        <v>12.104</v>
      </c>
      <c r="P25" s="553"/>
      <c r="Q25" s="553"/>
      <c r="R25" s="553">
        <v>3.187</v>
      </c>
      <c r="S25" s="553">
        <v>8.917</v>
      </c>
      <c r="T25" s="520">
        <f>SUM(U25:X25)</f>
        <v>12.104</v>
      </c>
      <c r="U25" s="553"/>
      <c r="V25" s="553"/>
      <c r="W25" s="553">
        <v>3.187</v>
      </c>
      <c r="X25" s="553">
        <v>8.917</v>
      </c>
      <c r="Y25" s="519">
        <f>SUM(Z25:AC25)</f>
        <v>13.546</v>
      </c>
      <c r="Z25" s="528"/>
      <c r="AA25" s="528">
        <v>0.003</v>
      </c>
      <c r="AB25" s="528">
        <v>4.044</v>
      </c>
      <c r="AC25" s="529">
        <v>9.499</v>
      </c>
      <c r="AD25" s="519">
        <f>SUM(AE25:AH25)</f>
        <v>12.989999999999998</v>
      </c>
      <c r="AE25" s="528"/>
      <c r="AF25" s="528">
        <v>0.003</v>
      </c>
      <c r="AG25" s="528">
        <v>4.044</v>
      </c>
      <c r="AH25" s="529">
        <v>8.943</v>
      </c>
      <c r="AI25" s="519">
        <f>SUM(AJ25:AM25)</f>
        <v>13.268</v>
      </c>
      <c r="AJ25" s="528"/>
      <c r="AK25" s="708">
        <v>0.003</v>
      </c>
      <c r="AL25" s="708">
        <v>4.044</v>
      </c>
      <c r="AM25" s="709">
        <v>9.221</v>
      </c>
      <c r="AN25" s="605">
        <f t="shared" si="5"/>
        <v>1.0961665565102447</v>
      </c>
      <c r="AO25" s="605">
        <f t="shared" si="6"/>
        <v>0</v>
      </c>
      <c r="AP25" s="605">
        <f t="shared" si="7"/>
        <v>0</v>
      </c>
      <c r="AQ25" s="605">
        <f t="shared" si="8"/>
        <v>1.268904926262943</v>
      </c>
      <c r="AR25" s="605">
        <f t="shared" si="9"/>
        <v>1.034092183469777</v>
      </c>
    </row>
    <row r="26" spans="1:44" ht="11.25">
      <c r="A26" s="5"/>
      <c r="B26" s="39" t="s">
        <v>108</v>
      </c>
      <c r="C26" s="39"/>
      <c r="D26" s="39" t="s">
        <v>129</v>
      </c>
      <c r="E26" s="524"/>
      <c r="F26" s="524"/>
      <c r="G26" s="524"/>
      <c r="H26" s="524"/>
      <c r="I26" s="524"/>
      <c r="J26" s="524"/>
      <c r="K26" s="524"/>
      <c r="L26" s="524"/>
      <c r="M26" s="524"/>
      <c r="N26" s="524"/>
      <c r="O26" s="524"/>
      <c r="P26" s="524"/>
      <c r="Q26" s="524"/>
      <c r="R26" s="524"/>
      <c r="S26" s="524"/>
      <c r="T26" s="524"/>
      <c r="U26" s="524"/>
      <c r="V26" s="524"/>
      <c r="W26" s="524"/>
      <c r="X26" s="587"/>
      <c r="Y26" s="523"/>
      <c r="Z26" s="524"/>
      <c r="AA26" s="524"/>
      <c r="AB26" s="524"/>
      <c r="AC26" s="525"/>
      <c r="AD26" s="523"/>
      <c r="AE26" s="524"/>
      <c r="AF26" s="524"/>
      <c r="AG26" s="524"/>
      <c r="AH26" s="525"/>
      <c r="AI26" s="523"/>
      <c r="AJ26" s="524"/>
      <c r="AK26" s="524"/>
      <c r="AL26" s="524"/>
      <c r="AM26" s="525"/>
      <c r="AN26" s="605">
        <f t="shared" si="5"/>
        <v>0</v>
      </c>
      <c r="AO26" s="605">
        <f t="shared" si="6"/>
        <v>0</v>
      </c>
      <c r="AP26" s="605">
        <f t="shared" si="7"/>
        <v>0</v>
      </c>
      <c r="AQ26" s="605">
        <f t="shared" si="8"/>
        <v>0</v>
      </c>
      <c r="AR26" s="605">
        <f t="shared" si="9"/>
        <v>0</v>
      </c>
    </row>
    <row r="27" spans="1:44" ht="22.5">
      <c r="A27" s="5"/>
      <c r="B27" s="39" t="s">
        <v>109</v>
      </c>
      <c r="C27" s="39" t="s">
        <v>110</v>
      </c>
      <c r="D27" s="39" t="s">
        <v>129</v>
      </c>
      <c r="E27" s="520">
        <f>SUM(F27:I27)</f>
        <v>0</v>
      </c>
      <c r="F27" s="553"/>
      <c r="G27" s="553"/>
      <c r="H27" s="553"/>
      <c r="I27" s="553"/>
      <c r="J27" s="520">
        <f>SUM(K27:N27)</f>
        <v>0</v>
      </c>
      <c r="K27" s="553"/>
      <c r="L27" s="553"/>
      <c r="M27" s="553"/>
      <c r="N27" s="553"/>
      <c r="O27" s="520">
        <f>SUM(P27:S27)</f>
        <v>0</v>
      </c>
      <c r="P27" s="553"/>
      <c r="Q27" s="553"/>
      <c r="R27" s="553"/>
      <c r="S27" s="553"/>
      <c r="T27" s="520">
        <f>SUM(U27:X27)</f>
        <v>0</v>
      </c>
      <c r="U27" s="553"/>
      <c r="V27" s="553"/>
      <c r="W27" s="553"/>
      <c r="X27" s="596"/>
      <c r="Y27" s="519">
        <f>SUM(Z27:AC27)</f>
        <v>0</v>
      </c>
      <c r="Z27" s="528"/>
      <c r="AA27" s="528"/>
      <c r="AB27" s="528"/>
      <c r="AC27" s="529"/>
      <c r="AD27" s="519">
        <f>SUM(AE27:AH27)</f>
        <v>0</v>
      </c>
      <c r="AE27" s="528"/>
      <c r="AF27" s="528"/>
      <c r="AG27" s="528"/>
      <c r="AH27" s="529"/>
      <c r="AI27" s="519">
        <f>SUM(AJ27:AM27)</f>
        <v>0</v>
      </c>
      <c r="AJ27" s="528"/>
      <c r="AK27" s="528"/>
      <c r="AL27" s="528"/>
      <c r="AM27" s="529"/>
      <c r="AN27" s="605">
        <f t="shared" si="5"/>
        <v>0</v>
      </c>
      <c r="AO27" s="605">
        <f t="shared" si="6"/>
        <v>0</v>
      </c>
      <c r="AP27" s="605">
        <f t="shared" si="7"/>
        <v>0</v>
      </c>
      <c r="AQ27" s="605">
        <f t="shared" si="8"/>
        <v>0</v>
      </c>
      <c r="AR27" s="605">
        <f t="shared" si="9"/>
        <v>0</v>
      </c>
    </row>
    <row r="28" spans="1:44" ht="23.25" customHeight="1">
      <c r="A28" s="5"/>
      <c r="B28" s="39" t="s">
        <v>111</v>
      </c>
      <c r="C28" s="39" t="s">
        <v>112</v>
      </c>
      <c r="D28" s="39" t="s">
        <v>129</v>
      </c>
      <c r="E28" s="520">
        <f>SUM(F28:I28)</f>
        <v>0</v>
      </c>
      <c r="F28" s="553"/>
      <c r="G28" s="553"/>
      <c r="H28" s="553"/>
      <c r="I28" s="553"/>
      <c r="J28" s="520">
        <f>SUM(K28:N28)</f>
        <v>0</v>
      </c>
      <c r="K28" s="553"/>
      <c r="L28" s="553"/>
      <c r="M28" s="553"/>
      <c r="N28" s="553"/>
      <c r="O28" s="520">
        <f>SUM(P28:S28)</f>
        <v>0</v>
      </c>
      <c r="P28" s="553"/>
      <c r="Q28" s="553"/>
      <c r="R28" s="553"/>
      <c r="S28" s="553"/>
      <c r="T28" s="520">
        <f>SUM(U28:X28)</f>
        <v>0</v>
      </c>
      <c r="U28" s="553"/>
      <c r="V28" s="553"/>
      <c r="W28" s="553"/>
      <c r="X28" s="596"/>
      <c r="Y28" s="519">
        <f>SUM(Z28:AC28)</f>
        <v>0</v>
      </c>
      <c r="Z28" s="528"/>
      <c r="AA28" s="528"/>
      <c r="AB28" s="528"/>
      <c r="AC28" s="529"/>
      <c r="AD28" s="519">
        <f>SUM(AE28:AH28)</f>
        <v>0</v>
      </c>
      <c r="AE28" s="528"/>
      <c r="AF28" s="528"/>
      <c r="AG28" s="528"/>
      <c r="AH28" s="529"/>
      <c r="AI28" s="519">
        <f>SUM(AJ28:AM28)</f>
        <v>0</v>
      </c>
      <c r="AJ28" s="528"/>
      <c r="AK28" s="528"/>
      <c r="AL28" s="528"/>
      <c r="AM28" s="529"/>
      <c r="AN28" s="605">
        <f t="shared" si="5"/>
        <v>0</v>
      </c>
      <c r="AO28" s="605">
        <f t="shared" si="6"/>
        <v>0</v>
      </c>
      <c r="AP28" s="605">
        <f t="shared" si="7"/>
        <v>0</v>
      </c>
      <c r="AQ28" s="605">
        <f t="shared" si="8"/>
        <v>0</v>
      </c>
      <c r="AR28" s="605">
        <f t="shared" si="9"/>
        <v>0</v>
      </c>
    </row>
    <row r="29" spans="1:44" ht="22.5">
      <c r="A29" s="5" t="s">
        <v>113</v>
      </c>
      <c r="B29" s="39" t="s">
        <v>135</v>
      </c>
      <c r="C29" s="39" t="s">
        <v>115</v>
      </c>
      <c r="D29" s="39" t="s">
        <v>129</v>
      </c>
      <c r="E29" s="520">
        <f>SUM(F29:I29)</f>
        <v>0</v>
      </c>
      <c r="F29" s="553"/>
      <c r="G29" s="553"/>
      <c r="H29" s="553"/>
      <c r="I29" s="553"/>
      <c r="J29" s="520">
        <f>SUM(K29:N29)</f>
        <v>0</v>
      </c>
      <c r="K29" s="553"/>
      <c r="L29" s="553"/>
      <c r="M29" s="553"/>
      <c r="N29" s="553"/>
      <c r="O29" s="520">
        <f>SUM(P29:S29)</f>
        <v>0</v>
      </c>
      <c r="P29" s="553"/>
      <c r="Q29" s="553"/>
      <c r="R29" s="553"/>
      <c r="S29" s="553"/>
      <c r="T29" s="520">
        <f>SUM(U29:X29)</f>
        <v>0</v>
      </c>
      <c r="U29" s="553"/>
      <c r="V29" s="553"/>
      <c r="W29" s="553"/>
      <c r="X29" s="596"/>
      <c r="Y29" s="519">
        <f>SUM(Z29:AC29)</f>
        <v>0</v>
      </c>
      <c r="Z29" s="528"/>
      <c r="AA29" s="528"/>
      <c r="AB29" s="528"/>
      <c r="AC29" s="529"/>
      <c r="AD29" s="519">
        <f>SUM(AE29:AH29)</f>
        <v>0</v>
      </c>
      <c r="AE29" s="528"/>
      <c r="AF29" s="528"/>
      <c r="AG29" s="528"/>
      <c r="AH29" s="529"/>
      <c r="AI29" s="519">
        <f>SUM(AJ29:AM29)</f>
        <v>0</v>
      </c>
      <c r="AJ29" s="528"/>
      <c r="AK29" s="528"/>
      <c r="AL29" s="528"/>
      <c r="AM29" s="529"/>
      <c r="AN29" s="605">
        <f t="shared" si="5"/>
        <v>0</v>
      </c>
      <c r="AO29" s="605">
        <f t="shared" si="6"/>
        <v>0</v>
      </c>
      <c r="AP29" s="605">
        <f t="shared" si="7"/>
        <v>0</v>
      </c>
      <c r="AQ29" s="605">
        <f t="shared" si="8"/>
        <v>0</v>
      </c>
      <c r="AR29" s="605">
        <f t="shared" si="9"/>
        <v>0</v>
      </c>
    </row>
    <row r="30" spans="1:44" ht="11.25">
      <c r="A30" s="5" t="s">
        <v>116</v>
      </c>
      <c r="B30" s="39" t="s">
        <v>136</v>
      </c>
      <c r="C30" s="39" t="s">
        <v>118</v>
      </c>
      <c r="D30" s="39" t="s">
        <v>129</v>
      </c>
      <c r="E30" s="520">
        <f>SUM(F30:I30)</f>
        <v>0</v>
      </c>
      <c r="F30" s="553"/>
      <c r="G30" s="553"/>
      <c r="H30" s="553"/>
      <c r="I30" s="553"/>
      <c r="J30" s="520">
        <f>SUM(K30:N30)</f>
        <v>0</v>
      </c>
      <c r="K30" s="553"/>
      <c r="L30" s="553"/>
      <c r="M30" s="553"/>
      <c r="N30" s="553"/>
      <c r="O30" s="520">
        <f>SUM(P30:S30)</f>
        <v>0</v>
      </c>
      <c r="P30" s="553"/>
      <c r="Q30" s="553"/>
      <c r="R30" s="553"/>
      <c r="S30" s="553"/>
      <c r="T30" s="520">
        <f>SUM(U30:X30)</f>
        <v>0</v>
      </c>
      <c r="U30" s="553"/>
      <c r="V30" s="553"/>
      <c r="W30" s="553"/>
      <c r="X30" s="596"/>
      <c r="Y30" s="519">
        <f>SUM(Z30:AC30)</f>
        <v>0</v>
      </c>
      <c r="Z30" s="528"/>
      <c r="AA30" s="528"/>
      <c r="AB30" s="528"/>
      <c r="AC30" s="529"/>
      <c r="AD30" s="519">
        <f>SUM(AE30:AH30)</f>
        <v>0</v>
      </c>
      <c r="AE30" s="528"/>
      <c r="AF30" s="528"/>
      <c r="AG30" s="528"/>
      <c r="AH30" s="529"/>
      <c r="AI30" s="519">
        <f>SUM(AJ30:AM30)</f>
        <v>0</v>
      </c>
      <c r="AJ30" s="528"/>
      <c r="AK30" s="528"/>
      <c r="AL30" s="528"/>
      <c r="AM30" s="529"/>
      <c r="AN30" s="605">
        <f t="shared" si="5"/>
        <v>0</v>
      </c>
      <c r="AO30" s="605">
        <f t="shared" si="6"/>
        <v>0</v>
      </c>
      <c r="AP30" s="605">
        <f t="shared" si="7"/>
        <v>0</v>
      </c>
      <c r="AQ30" s="605">
        <f t="shared" si="8"/>
        <v>0</v>
      </c>
      <c r="AR30" s="605">
        <f t="shared" si="9"/>
        <v>0</v>
      </c>
    </row>
    <row r="31" spans="1:44" ht="12" thickBot="1">
      <c r="A31" s="5" t="s">
        <v>119</v>
      </c>
      <c r="B31" s="39" t="s">
        <v>120</v>
      </c>
      <c r="C31" s="39" t="s">
        <v>121</v>
      </c>
      <c r="D31" s="39" t="s">
        <v>129</v>
      </c>
      <c r="E31" s="520">
        <f>SUM(F31:I31)</f>
        <v>0</v>
      </c>
      <c r="F31" s="553"/>
      <c r="G31" s="553"/>
      <c r="H31" s="553"/>
      <c r="I31" s="553"/>
      <c r="J31" s="520">
        <f>SUM(K31:N31)</f>
        <v>0</v>
      </c>
      <c r="K31" s="553"/>
      <c r="L31" s="553"/>
      <c r="M31" s="553"/>
      <c r="N31" s="553"/>
      <c r="O31" s="520">
        <f>SUM(P31:S31)</f>
        <v>0</v>
      </c>
      <c r="P31" s="553"/>
      <c r="Q31" s="553"/>
      <c r="R31" s="553"/>
      <c r="S31" s="553"/>
      <c r="T31" s="520">
        <f>SUM(U31:X31)</f>
        <v>0</v>
      </c>
      <c r="U31" s="553"/>
      <c r="V31" s="553"/>
      <c r="W31" s="553"/>
      <c r="X31" s="596"/>
      <c r="Y31" s="519">
        <f>SUM(Z31:AC31)</f>
        <v>0</v>
      </c>
      <c r="Z31" s="534"/>
      <c r="AA31" s="534"/>
      <c r="AB31" s="534"/>
      <c r="AC31" s="535"/>
      <c r="AD31" s="519">
        <f>SUM(AE31:AH31)</f>
        <v>0</v>
      </c>
      <c r="AE31" s="534"/>
      <c r="AF31" s="534"/>
      <c r="AG31" s="534"/>
      <c r="AH31" s="535"/>
      <c r="AI31" s="519">
        <f>SUM(AJ31:AM31)</f>
        <v>0</v>
      </c>
      <c r="AJ31" s="534"/>
      <c r="AK31" s="534"/>
      <c r="AL31" s="534"/>
      <c r="AM31" s="535"/>
      <c r="AN31" s="605">
        <f t="shared" si="5"/>
        <v>0</v>
      </c>
      <c r="AO31" s="605">
        <f t="shared" si="6"/>
        <v>0</v>
      </c>
      <c r="AP31" s="605">
        <f t="shared" si="7"/>
        <v>0</v>
      </c>
      <c r="AQ31" s="605">
        <f t="shared" si="8"/>
        <v>0</v>
      </c>
      <c r="AR31" s="605">
        <f t="shared" si="9"/>
        <v>0</v>
      </c>
    </row>
    <row r="32" spans="1:44" ht="12" thickBot="1">
      <c r="A32" s="173" t="s">
        <v>122</v>
      </c>
      <c r="B32" s="151" t="s">
        <v>123</v>
      </c>
      <c r="C32" s="151" t="s">
        <v>124</v>
      </c>
      <c r="D32" s="151" t="s">
        <v>129</v>
      </c>
      <c r="E32" s="543"/>
      <c r="F32" s="543">
        <f>F24-F25-F29-F30-F31-G15-H15-I15</f>
        <v>0</v>
      </c>
      <c r="G32" s="543">
        <f>G24-G25-G29-G30-G31-H16-I16</f>
        <v>0</v>
      </c>
      <c r="H32" s="543">
        <f>H24-H25-H29-H30-H31-I17</f>
        <v>0</v>
      </c>
      <c r="I32" s="543">
        <f>I24-I25-I29-I30-I31</f>
        <v>0</v>
      </c>
      <c r="J32" s="543"/>
      <c r="K32" s="543">
        <f>K24-K25-K29-K30-K31-L15-M15-N15</f>
        <v>0</v>
      </c>
      <c r="L32" s="543">
        <f>L24-L25-L29-L30-L31-M16-N16</f>
        <v>2.220446049250313E-16</v>
      </c>
      <c r="M32" s="543">
        <f>M24-M25-M29-M30-M31-N17</f>
        <v>0</v>
      </c>
      <c r="N32" s="543">
        <f>N24-N25-N29-N30-N31</f>
        <v>0</v>
      </c>
      <c r="O32" s="543"/>
      <c r="P32" s="543">
        <f>P24-P25-P29-P30-P31-Q15-R15-S15</f>
        <v>0</v>
      </c>
      <c r="Q32" s="543">
        <f>Q24-Q25-Q29-Q30-Q31-R16-S16</f>
        <v>0</v>
      </c>
      <c r="R32" s="543">
        <f>R24-R25-R29-R30-R31-S17</f>
        <v>0</v>
      </c>
      <c r="S32" s="543">
        <f>S24-S25-S29-S30-S31</f>
        <v>0</v>
      </c>
      <c r="T32" s="543"/>
      <c r="U32" s="543">
        <f>U24-U25-U29-U30-U31-V15-W15-X15</f>
        <v>0</v>
      </c>
      <c r="V32" s="543">
        <f>V24-V25-V29-V30-V31-W16-X16</f>
        <v>0</v>
      </c>
      <c r="W32" s="543">
        <f>W24-W25-W29-W30-W31-X17</f>
        <v>0</v>
      </c>
      <c r="X32" s="599">
        <f>X24-X25-X29-X30-X31</f>
        <v>0</v>
      </c>
      <c r="Y32" s="603"/>
      <c r="Z32" s="543">
        <f>Z24-Z25-Z29-Z30-Z31-AA15-AB15-AC15</f>
        <v>0</v>
      </c>
      <c r="AA32" s="543">
        <f>AA24-AA25-AA29-AA30-AA31-AB16-AC16</f>
        <v>0</v>
      </c>
      <c r="AB32" s="543">
        <f>AB24-AB25-AB29-AB30-AB31-AC17</f>
        <v>0</v>
      </c>
      <c r="AC32" s="604">
        <f>AC24-AC25-AC29-AC30-AC31</f>
        <v>0</v>
      </c>
      <c r="AD32" s="603"/>
      <c r="AE32" s="543">
        <f>AE24-AE25-AE29-AE30-AE31-AF15-AG15-AH15</f>
        <v>0</v>
      </c>
      <c r="AF32" s="543">
        <f>AF24-AF25-AF29-AF30-AF31-AG16-AH16</f>
        <v>-1.1102230246251565E-16</v>
      </c>
      <c r="AG32" s="543">
        <f>AG24-AG25-AG29-AG30-AG31-AH17</f>
        <v>0</v>
      </c>
      <c r="AH32" s="604">
        <f>AH24-AH25-AH29-AH30-AH31</f>
        <v>0</v>
      </c>
      <c r="AI32" s="603"/>
      <c r="AJ32" s="543">
        <f>AJ24-AJ25-AJ29-AJ30-AJ31-AK15-AL15-AM15</f>
        <v>0</v>
      </c>
      <c r="AK32" s="543">
        <f>AK24-AK25-AK29-AK30-AK31-AL16-AM16</f>
        <v>-1.1102230246251565E-16</v>
      </c>
      <c r="AL32" s="543">
        <f>AL24-AL25-AL29-AL30-AL31-AM17</f>
        <v>0</v>
      </c>
      <c r="AM32" s="604">
        <f>AM24-AM25-AM29-AM30-AM31</f>
        <v>0</v>
      </c>
      <c r="AN32" s="606"/>
      <c r="AO32" s="329"/>
      <c r="AP32" s="329"/>
      <c r="AQ32" s="329"/>
      <c r="AR32" s="330"/>
    </row>
    <row r="34" spans="2:4" s="14" customFormat="1" ht="11.25">
      <c r="B34" s="61"/>
      <c r="C34" s="61"/>
      <c r="D34" s="61"/>
    </row>
    <row r="35" spans="2:31" s="14" customFormat="1" ht="15">
      <c r="B35" s="61"/>
      <c r="C35" s="61"/>
      <c r="D35" s="61"/>
      <c r="E35" s="576" t="s">
        <v>1291</v>
      </c>
      <c r="F35" s="608"/>
      <c r="G35" s="608"/>
      <c r="H35" s="607"/>
      <c r="I35" s="607"/>
      <c r="J35" s="607"/>
      <c r="K35" s="576" t="s">
        <v>1342</v>
      </c>
      <c r="Y35" s="576" t="s">
        <v>1291</v>
      </c>
      <c r="Z35" s="608"/>
      <c r="AA35" s="608"/>
      <c r="AB35" s="607"/>
      <c r="AC35" s="607"/>
      <c r="AD35" s="607"/>
      <c r="AE35" s="576" t="s">
        <v>1342</v>
      </c>
    </row>
    <row r="36" spans="2:31" s="14" customFormat="1" ht="15">
      <c r="B36" s="61"/>
      <c r="C36" s="61"/>
      <c r="D36" s="61"/>
      <c r="E36" s="576" t="s">
        <v>1345</v>
      </c>
      <c r="F36" s="576"/>
      <c r="G36" s="576"/>
      <c r="H36" s="576"/>
      <c r="I36" s="576" t="s">
        <v>1288</v>
      </c>
      <c r="J36" s="576"/>
      <c r="K36" s="576"/>
      <c r="Y36" s="576" t="s">
        <v>1345</v>
      </c>
      <c r="Z36" s="576"/>
      <c r="AA36" s="576"/>
      <c r="AB36" s="576"/>
      <c r="AC36" s="576" t="s">
        <v>1288</v>
      </c>
      <c r="AD36" s="576"/>
      <c r="AE36" s="576"/>
    </row>
    <row r="37" spans="2:31" s="14" customFormat="1" ht="15">
      <c r="B37" s="61"/>
      <c r="C37" s="61"/>
      <c r="D37" s="61"/>
      <c r="E37" s="576" t="s">
        <v>1347</v>
      </c>
      <c r="F37" s="576"/>
      <c r="G37" s="576"/>
      <c r="H37" s="576"/>
      <c r="I37" s="576"/>
      <c r="J37" s="576"/>
      <c r="K37" s="576"/>
      <c r="Y37" s="576" t="s">
        <v>1347</v>
      </c>
      <c r="Z37" s="576"/>
      <c r="AA37" s="576"/>
      <c r="AB37" s="576"/>
      <c r="AC37" s="576"/>
      <c r="AD37" s="576"/>
      <c r="AE37" s="576"/>
    </row>
    <row r="38" spans="2:4" s="14" customFormat="1" ht="11.25">
      <c r="B38" s="61"/>
      <c r="C38" s="61"/>
      <c r="D38" s="61"/>
    </row>
    <row r="39" spans="2:4" s="14" customFormat="1" ht="11.25">
      <c r="B39" s="61"/>
      <c r="C39" s="61"/>
      <c r="D39" s="61"/>
    </row>
    <row r="40" spans="2:4" s="14" customFormat="1" ht="11.25">
      <c r="B40" s="61"/>
      <c r="C40" s="61"/>
      <c r="D40" s="61"/>
    </row>
    <row r="41" spans="2:4" s="14" customFormat="1" ht="11.25">
      <c r="B41" s="61"/>
      <c r="C41" s="61"/>
      <c r="D41" s="61"/>
    </row>
    <row r="42" spans="2:4" s="14" customFormat="1" ht="11.25">
      <c r="B42" s="61"/>
      <c r="C42" s="61"/>
      <c r="D42" s="61"/>
    </row>
    <row r="43" spans="2:4" s="14" customFormat="1" ht="11.25">
      <c r="B43" s="61"/>
      <c r="C43" s="61"/>
      <c r="D43" s="61"/>
    </row>
    <row r="44" spans="2:4" s="14" customFormat="1" ht="11.25">
      <c r="B44" s="61"/>
      <c r="C44" s="61"/>
      <c r="D44" s="61"/>
    </row>
    <row r="45" spans="2:4" s="14" customFormat="1" ht="11.25">
      <c r="B45" s="61"/>
      <c r="C45" s="61"/>
      <c r="D45" s="61"/>
    </row>
    <row r="46" spans="2:4" s="14" customFormat="1" ht="11.25">
      <c r="B46" s="61"/>
      <c r="C46" s="61"/>
      <c r="D46" s="61"/>
    </row>
    <row r="47" spans="2:4" s="14" customFormat="1" ht="11.25">
      <c r="B47" s="61"/>
      <c r="C47" s="61"/>
      <c r="D47" s="61"/>
    </row>
    <row r="48" spans="2:4" s="14" customFormat="1" ht="11.25">
      <c r="B48" s="61"/>
      <c r="C48" s="61"/>
      <c r="D48" s="61"/>
    </row>
    <row r="49" spans="2:4" s="14" customFormat="1" ht="11.25">
      <c r="B49" s="61"/>
      <c r="C49" s="61"/>
      <c r="D49" s="61"/>
    </row>
    <row r="50" spans="2:4" s="14" customFormat="1" ht="11.25">
      <c r="B50" s="61"/>
      <c r="C50" s="61"/>
      <c r="D50" s="61"/>
    </row>
    <row r="51" spans="2:4" s="14" customFormat="1" ht="11.25">
      <c r="B51" s="61"/>
      <c r="C51" s="61"/>
      <c r="D51" s="61"/>
    </row>
    <row r="52" spans="2:4" s="14" customFormat="1" ht="11.25">
      <c r="B52" s="61"/>
      <c r="C52" s="61"/>
      <c r="D52" s="61"/>
    </row>
    <row r="53" spans="2:4" s="14" customFormat="1" ht="11.25">
      <c r="B53" s="61"/>
      <c r="C53" s="61"/>
      <c r="D53" s="61"/>
    </row>
    <row r="54" spans="2:4" s="14" customFormat="1" ht="11.25">
      <c r="B54" s="61"/>
      <c r="C54" s="61"/>
      <c r="D54" s="61"/>
    </row>
    <row r="55" spans="2:4" s="14" customFormat="1" ht="11.25">
      <c r="B55" s="61"/>
      <c r="C55" s="61"/>
      <c r="D55" s="61"/>
    </row>
    <row r="56" spans="2:4" s="14" customFormat="1" ht="11.25">
      <c r="B56" s="61"/>
      <c r="C56" s="61"/>
      <c r="D56" s="61"/>
    </row>
    <row r="57" spans="2:4" s="14" customFormat="1" ht="11.25">
      <c r="B57" s="61"/>
      <c r="C57" s="61"/>
      <c r="D57" s="61"/>
    </row>
    <row r="58" spans="2:4" s="14" customFormat="1" ht="11.25">
      <c r="B58" s="61"/>
      <c r="C58" s="61"/>
      <c r="D58" s="61"/>
    </row>
    <row r="59" spans="2:4" s="14" customFormat="1" ht="11.25">
      <c r="B59" s="61"/>
      <c r="C59" s="61"/>
      <c r="D59" s="61"/>
    </row>
    <row r="60" spans="2:4" s="14" customFormat="1" ht="11.25">
      <c r="B60" s="61"/>
      <c r="C60" s="61"/>
      <c r="D60" s="61"/>
    </row>
    <row r="61" spans="2:4" s="14" customFormat="1" ht="11.25">
      <c r="B61" s="61"/>
      <c r="C61" s="61"/>
      <c r="D61" s="61"/>
    </row>
    <row r="62" spans="2:4" s="14" customFormat="1" ht="11.25">
      <c r="B62" s="61"/>
      <c r="C62" s="61"/>
      <c r="D62" s="61"/>
    </row>
    <row r="63" spans="2:4" s="14" customFormat="1" ht="11.25">
      <c r="B63" s="61"/>
      <c r="C63" s="61"/>
      <c r="D63" s="61"/>
    </row>
    <row r="64" spans="2:4" s="14" customFormat="1" ht="11.25">
      <c r="B64" s="61"/>
      <c r="C64" s="61"/>
      <c r="D64" s="61"/>
    </row>
    <row r="65" spans="2:4" s="14" customFormat="1" ht="11.25">
      <c r="B65" s="61"/>
      <c r="C65" s="61"/>
      <c r="D65" s="61"/>
    </row>
    <row r="66" spans="2:4" s="14" customFormat="1" ht="11.25">
      <c r="B66" s="61"/>
      <c r="C66" s="61"/>
      <c r="D66" s="61"/>
    </row>
    <row r="67" spans="2:4" s="14" customFormat="1" ht="11.25">
      <c r="B67" s="61"/>
      <c r="C67" s="61"/>
      <c r="D67" s="61"/>
    </row>
    <row r="68" spans="2:4" s="14" customFormat="1" ht="11.25">
      <c r="B68" s="61"/>
      <c r="C68" s="61"/>
      <c r="D68" s="61"/>
    </row>
    <row r="69" spans="2:4" s="14" customFormat="1" ht="11.25">
      <c r="B69" s="61"/>
      <c r="C69" s="61"/>
      <c r="D69" s="61"/>
    </row>
    <row r="70" spans="2:4" s="14" customFormat="1" ht="11.25">
      <c r="B70" s="61"/>
      <c r="C70" s="61"/>
      <c r="D70" s="61"/>
    </row>
    <row r="71" spans="2:4" s="14" customFormat="1" ht="11.25">
      <c r="B71" s="61"/>
      <c r="C71" s="61"/>
      <c r="D71" s="61"/>
    </row>
    <row r="72" spans="2:4" s="14" customFormat="1" ht="11.25">
      <c r="B72" s="61"/>
      <c r="C72" s="61"/>
      <c r="D72" s="61"/>
    </row>
    <row r="73" spans="2:4" s="14" customFormat="1" ht="11.25">
      <c r="B73" s="61"/>
      <c r="C73" s="61"/>
      <c r="D73" s="61"/>
    </row>
    <row r="74" spans="2:4" s="14" customFormat="1" ht="11.25">
      <c r="B74" s="61"/>
      <c r="C74" s="61"/>
      <c r="D74" s="61"/>
    </row>
    <row r="75" spans="2:4" s="14" customFormat="1" ht="11.25">
      <c r="B75" s="61"/>
      <c r="C75" s="61"/>
      <c r="D75" s="61"/>
    </row>
    <row r="76" spans="2:4" s="14" customFormat="1" ht="11.25">
      <c r="B76" s="61"/>
      <c r="C76" s="61"/>
      <c r="D76" s="61"/>
    </row>
    <row r="77" spans="2:4" s="14" customFormat="1" ht="11.25">
      <c r="B77" s="61"/>
      <c r="C77" s="61"/>
      <c r="D77" s="61"/>
    </row>
    <row r="78" spans="2:4" s="14" customFormat="1" ht="11.25">
      <c r="B78" s="61"/>
      <c r="C78" s="61"/>
      <c r="D78" s="61"/>
    </row>
    <row r="79" spans="2:4" s="14" customFormat="1" ht="11.25">
      <c r="B79" s="61"/>
      <c r="C79" s="61"/>
      <c r="D79" s="61"/>
    </row>
    <row r="80" spans="2:4" s="14" customFormat="1" ht="11.25">
      <c r="B80" s="61"/>
      <c r="C80" s="61"/>
      <c r="D80" s="61"/>
    </row>
    <row r="81" spans="2:4" s="14" customFormat="1" ht="11.25">
      <c r="B81" s="61"/>
      <c r="C81" s="61"/>
      <c r="D81" s="61"/>
    </row>
    <row r="82" spans="2:4" s="14" customFormat="1" ht="11.25">
      <c r="B82" s="61"/>
      <c r="C82" s="61"/>
      <c r="D82" s="61"/>
    </row>
    <row r="83" spans="2:4" s="14" customFormat="1" ht="11.25">
      <c r="B83" s="61"/>
      <c r="C83" s="61"/>
      <c r="D83" s="61"/>
    </row>
    <row r="84" spans="2:4" s="14" customFormat="1" ht="11.25">
      <c r="B84" s="61"/>
      <c r="C84" s="61"/>
      <c r="D84" s="61"/>
    </row>
    <row r="85" spans="2:4" s="14" customFormat="1" ht="11.25">
      <c r="B85" s="61"/>
      <c r="C85" s="61"/>
      <c r="D85" s="61"/>
    </row>
    <row r="86" spans="2:4" s="14" customFormat="1" ht="11.25">
      <c r="B86" s="61"/>
      <c r="C86" s="61"/>
      <c r="D86" s="61"/>
    </row>
    <row r="87" spans="2:4" s="14" customFormat="1" ht="11.25">
      <c r="B87" s="61"/>
      <c r="C87" s="61"/>
      <c r="D87" s="61"/>
    </row>
    <row r="88" spans="2:4" s="14" customFormat="1" ht="11.25">
      <c r="B88" s="61"/>
      <c r="C88" s="61"/>
      <c r="D88" s="61"/>
    </row>
    <row r="89" spans="2:4" s="14" customFormat="1" ht="11.25">
      <c r="B89" s="61"/>
      <c r="C89" s="61"/>
      <c r="D89" s="61"/>
    </row>
    <row r="90" spans="2:4" s="14" customFormat="1" ht="11.25">
      <c r="B90" s="61"/>
      <c r="C90" s="61"/>
      <c r="D90" s="61"/>
    </row>
    <row r="91" spans="2:4" s="14" customFormat="1" ht="11.25">
      <c r="B91" s="61"/>
      <c r="C91" s="61"/>
      <c r="D91" s="61"/>
    </row>
    <row r="92" spans="2:4" s="14" customFormat="1" ht="11.25">
      <c r="B92" s="61"/>
      <c r="C92" s="61"/>
      <c r="D92" s="61"/>
    </row>
    <row r="93" spans="2:4" s="14" customFormat="1" ht="11.25">
      <c r="B93" s="61"/>
      <c r="C93" s="61"/>
      <c r="D93" s="61"/>
    </row>
    <row r="94" spans="2:4" s="14" customFormat="1" ht="11.25">
      <c r="B94" s="61"/>
      <c r="C94" s="61"/>
      <c r="D94" s="61"/>
    </row>
    <row r="95" spans="2:4" s="14" customFormat="1" ht="11.25">
      <c r="B95" s="61"/>
      <c r="C95" s="61"/>
      <c r="D95" s="61"/>
    </row>
    <row r="96" spans="2:4" s="14" customFormat="1" ht="11.25">
      <c r="B96" s="61"/>
      <c r="C96" s="61"/>
      <c r="D96" s="61"/>
    </row>
  </sheetData>
  <sheetProtection formatColumns="0" formatRows="0"/>
  <protectedRanges>
    <protectedRange sqref="Z27:AC31 Z25 AE27:AH31 AE25 AJ27:AM31 AJ25" name="Диапазон1_1"/>
    <protectedRange sqref="Z14:AC21" name="Диапазон1_2"/>
    <protectedRange sqref="AA25:AC25" name="Диапазон1_1_1"/>
    <protectedRange sqref="AE14:AH21" name="Диапазон1_3"/>
    <protectedRange sqref="AF25:AH25" name="Диапазон1_1_2"/>
    <protectedRange sqref="AJ14:AM21" name="Диапазон1_4"/>
    <protectedRange sqref="AK25:AM25" name="Диапазон1_1_3"/>
  </protectedRanges>
  <mergeCells count="13">
    <mergeCell ref="E2:Q2"/>
    <mergeCell ref="Y2:AK2"/>
    <mergeCell ref="E4:I4"/>
    <mergeCell ref="J4:N4"/>
    <mergeCell ref="O4:S4"/>
    <mergeCell ref="A4:A6"/>
    <mergeCell ref="B4:B6"/>
    <mergeCell ref="D4:D6"/>
    <mergeCell ref="AD4:AH4"/>
    <mergeCell ref="AI4:AM4"/>
    <mergeCell ref="AN4:AR4"/>
    <mergeCell ref="T4:X4"/>
    <mergeCell ref="Y4:AC4"/>
  </mergeCells>
  <dataValidations count="1">
    <dataValidation type="decimal" allowBlank="1" showInputMessage="1" showErrorMessage="1" error="Ввведеное значение неверно" sqref="Z23:AC23 U27:X31 P27:S31 K27:N31 F27:I31 Z14:AC21 P25:S25 U23:X23 K23:N23 F23:I23 U25:X25 P23:S23 U14:X21 K14:N21 F14:I21 AJ23:AM23 P14:S21 K25:N25 F25:I25 Z27:AC31 AE14:AH21 Z25:AC25 AE27:AH31 AE23:AH23 AJ14:AM21 AE25:AH25 AJ27:AM31 AJ25:AM25">
      <formula1>-1000000000000000</formula1>
      <formula2>1000000000000000</formula2>
    </dataValidation>
  </dataValidations>
  <printOptions/>
  <pageMargins left="0.6299212598425197" right="0.11811023622047245" top="0.6692913385826772" bottom="0.4330708661417323" header="0.5118110236220472" footer="0.2755905511811024"/>
  <pageSetup horizontalDpi="600" verticalDpi="600" orientation="landscape" paperSize="9" scale="68" r:id="rId1"/>
  <colBreaks count="1" manualBreakCount="1">
    <brk id="24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3"/>
  <dimension ref="A1:AR96"/>
  <sheetViews>
    <sheetView view="pageBreakPreview" zoomScaleSheetLayoutView="100" zoomScalePageLayoutView="0" workbookViewId="0" topLeftCell="A2">
      <pane xSplit="4" topLeftCell="S1" activePane="topRight" state="frozen"/>
      <selection pane="topLeft" activeCell="F41" sqref="F41"/>
      <selection pane="topRight" activeCell="M37" sqref="M37"/>
    </sheetView>
  </sheetViews>
  <sheetFormatPr defaultColWidth="9.140625" defaultRowHeight="11.25"/>
  <cols>
    <col min="1" max="1" width="4.421875" style="0" customWidth="1"/>
    <col min="2" max="2" width="44.00390625" style="48" customWidth="1"/>
    <col min="3" max="3" width="0" style="48" hidden="1" customWidth="1"/>
    <col min="4" max="4" width="5.140625" style="48" customWidth="1"/>
    <col min="5" max="14" width="8.7109375" style="0" customWidth="1"/>
    <col min="40" max="40" width="7.421875" style="0" customWidth="1"/>
    <col min="41" max="41" width="6.8515625" style="0" customWidth="1"/>
    <col min="42" max="42" width="6.7109375" style="0" customWidth="1"/>
    <col min="43" max="43" width="7.421875" style="0" customWidth="1"/>
    <col min="44" max="44" width="6.421875" style="0" customWidth="1"/>
  </cols>
  <sheetData>
    <row r="1" spans="1:19" ht="12.75" hidden="1">
      <c r="A1" s="34" t="str">
        <f>Справочники!E13</f>
        <v>Мурманская область</v>
      </c>
      <c r="B1" s="241" t="str">
        <f>Справочники!D21</f>
        <v>МУП "Кировская горэлектросеть"</v>
      </c>
      <c r="C1" s="46"/>
      <c r="D1" s="46"/>
      <c r="E1" s="47"/>
      <c r="F1" s="47"/>
      <c r="G1" s="47"/>
      <c r="H1" s="47"/>
      <c r="I1" s="47"/>
      <c r="S1" s="2" t="s">
        <v>125</v>
      </c>
    </row>
    <row r="2" spans="2:38" ht="19.5" customHeight="1">
      <c r="B2" s="618"/>
      <c r="C2" s="618"/>
      <c r="D2" s="618"/>
      <c r="E2" s="794" t="s">
        <v>126</v>
      </c>
      <c r="F2" s="794"/>
      <c r="G2" s="794"/>
      <c r="H2" s="794"/>
      <c r="I2" s="794"/>
      <c r="J2" s="794"/>
      <c r="K2" s="794"/>
      <c r="L2" s="794"/>
      <c r="M2" s="794"/>
      <c r="N2" s="794"/>
      <c r="O2" s="794"/>
      <c r="P2" s="794"/>
      <c r="Q2" s="794"/>
      <c r="R2" s="794"/>
      <c r="S2" s="618"/>
      <c r="Y2" s="794" t="s">
        <v>126</v>
      </c>
      <c r="Z2" s="794"/>
      <c r="AA2" s="794"/>
      <c r="AB2" s="794"/>
      <c r="AC2" s="794"/>
      <c r="AD2" s="794"/>
      <c r="AE2" s="794"/>
      <c r="AF2" s="794"/>
      <c r="AG2" s="794"/>
      <c r="AH2" s="794"/>
      <c r="AI2" s="794"/>
      <c r="AJ2" s="794"/>
      <c r="AK2" s="794"/>
      <c r="AL2" s="794"/>
    </row>
    <row r="3" spans="19:39" ht="12" thickBot="1">
      <c r="S3" t="s">
        <v>127</v>
      </c>
      <c r="AC3" t="s">
        <v>127</v>
      </c>
      <c r="AH3" t="s">
        <v>127</v>
      </c>
      <c r="AM3" t="s">
        <v>127</v>
      </c>
    </row>
    <row r="4" spans="1:44" s="231" customFormat="1" ht="17.25" customHeight="1">
      <c r="A4" s="771" t="s">
        <v>86</v>
      </c>
      <c r="B4" s="792" t="s">
        <v>25</v>
      </c>
      <c r="C4" s="176"/>
      <c r="D4" s="792"/>
      <c r="E4" s="777" t="s">
        <v>1303</v>
      </c>
      <c r="F4" s="773"/>
      <c r="G4" s="773"/>
      <c r="H4" s="773"/>
      <c r="I4" s="778"/>
      <c r="J4" s="777" t="s">
        <v>1304</v>
      </c>
      <c r="K4" s="773"/>
      <c r="L4" s="773"/>
      <c r="M4" s="773"/>
      <c r="N4" s="778"/>
      <c r="O4" s="777" t="s">
        <v>1286</v>
      </c>
      <c r="P4" s="773"/>
      <c r="Q4" s="773"/>
      <c r="R4" s="773"/>
      <c r="S4" s="778"/>
      <c r="T4" s="777" t="s">
        <v>1305</v>
      </c>
      <c r="U4" s="773"/>
      <c r="V4" s="773"/>
      <c r="W4" s="773"/>
      <c r="X4" s="775"/>
      <c r="Y4" s="779" t="s">
        <v>1309</v>
      </c>
      <c r="Z4" s="780"/>
      <c r="AA4" s="780"/>
      <c r="AB4" s="780"/>
      <c r="AC4" s="781"/>
      <c r="AD4" s="779" t="s">
        <v>1310</v>
      </c>
      <c r="AE4" s="780"/>
      <c r="AF4" s="780"/>
      <c r="AG4" s="780"/>
      <c r="AH4" s="781"/>
      <c r="AI4" s="779" t="s">
        <v>1311</v>
      </c>
      <c r="AJ4" s="780"/>
      <c r="AK4" s="780"/>
      <c r="AL4" s="780"/>
      <c r="AM4" s="781"/>
      <c r="AN4" s="793" t="s">
        <v>27</v>
      </c>
      <c r="AO4" s="789"/>
      <c r="AP4" s="789"/>
      <c r="AQ4" s="789"/>
      <c r="AR4" s="790"/>
    </row>
    <row r="5" spans="1:44" s="231" customFormat="1" ht="11.25">
      <c r="A5" s="772"/>
      <c r="B5" s="786"/>
      <c r="C5" s="178"/>
      <c r="D5" s="786"/>
      <c r="E5" s="4" t="s">
        <v>87</v>
      </c>
      <c r="F5" s="4" t="s">
        <v>28</v>
      </c>
      <c r="G5" s="4" t="s">
        <v>29</v>
      </c>
      <c r="H5" s="4" t="s">
        <v>30</v>
      </c>
      <c r="I5" s="4" t="s">
        <v>31</v>
      </c>
      <c r="J5" s="4" t="s">
        <v>87</v>
      </c>
      <c r="K5" s="4" t="s">
        <v>28</v>
      </c>
      <c r="L5" s="4" t="s">
        <v>29</v>
      </c>
      <c r="M5" s="4" t="s">
        <v>30</v>
      </c>
      <c r="N5" s="4" t="s">
        <v>31</v>
      </c>
      <c r="O5" s="4" t="s">
        <v>87</v>
      </c>
      <c r="P5" s="4" t="s">
        <v>28</v>
      </c>
      <c r="Q5" s="4" t="s">
        <v>29</v>
      </c>
      <c r="R5" s="4" t="s">
        <v>30</v>
      </c>
      <c r="S5" s="4" t="s">
        <v>31</v>
      </c>
      <c r="T5" s="4" t="s">
        <v>87</v>
      </c>
      <c r="U5" s="4" t="s">
        <v>28</v>
      </c>
      <c r="V5" s="4" t="s">
        <v>29</v>
      </c>
      <c r="W5" s="4" t="s">
        <v>30</v>
      </c>
      <c r="X5" s="38" t="s">
        <v>31</v>
      </c>
      <c r="Y5" s="9" t="s">
        <v>87</v>
      </c>
      <c r="Z5" s="4" t="s">
        <v>28</v>
      </c>
      <c r="AA5" s="4" t="s">
        <v>29</v>
      </c>
      <c r="AB5" s="4" t="s">
        <v>30</v>
      </c>
      <c r="AC5" s="8" t="s">
        <v>31</v>
      </c>
      <c r="AD5" s="9" t="s">
        <v>87</v>
      </c>
      <c r="AE5" s="4" t="s">
        <v>28</v>
      </c>
      <c r="AF5" s="4" t="s">
        <v>29</v>
      </c>
      <c r="AG5" s="4" t="s">
        <v>30</v>
      </c>
      <c r="AH5" s="8" t="s">
        <v>31</v>
      </c>
      <c r="AI5" s="9" t="s">
        <v>87</v>
      </c>
      <c r="AJ5" s="4" t="s">
        <v>28</v>
      </c>
      <c r="AK5" s="4" t="s">
        <v>29</v>
      </c>
      <c r="AL5" s="4" t="s">
        <v>30</v>
      </c>
      <c r="AM5" s="8" t="s">
        <v>31</v>
      </c>
      <c r="AN5" s="62" t="s">
        <v>87</v>
      </c>
      <c r="AO5" s="4" t="s">
        <v>28</v>
      </c>
      <c r="AP5" s="4" t="s">
        <v>29</v>
      </c>
      <c r="AQ5" s="4" t="s">
        <v>30</v>
      </c>
      <c r="AR5" s="8" t="s">
        <v>31</v>
      </c>
    </row>
    <row r="6" spans="1:44" ht="11.25" customHeight="1" hidden="1">
      <c r="A6" s="772"/>
      <c r="B6" s="786"/>
      <c r="C6" s="328"/>
      <c r="D6" s="786"/>
      <c r="E6" s="4" t="str">
        <f>E4</f>
        <v>2013 план</v>
      </c>
      <c r="F6" s="4" t="str">
        <f>E4</f>
        <v>2013 план</v>
      </c>
      <c r="G6" s="4" t="str">
        <f>E4</f>
        <v>2013 план</v>
      </c>
      <c r="H6" s="4" t="str">
        <f>E4</f>
        <v>2013 план</v>
      </c>
      <c r="I6" s="4" t="str">
        <f>E4</f>
        <v>2013 план</v>
      </c>
      <c r="J6" s="4" t="str">
        <f>J4</f>
        <v>2013 факт</v>
      </c>
      <c r="K6" s="4" t="str">
        <f>J4</f>
        <v>2013 факт</v>
      </c>
      <c r="L6" s="4" t="str">
        <f>J4</f>
        <v>2013 факт</v>
      </c>
      <c r="M6" s="4" t="str">
        <f>J4</f>
        <v>2013 факт</v>
      </c>
      <c r="N6" s="4" t="str">
        <f>J4</f>
        <v>2013 факт</v>
      </c>
      <c r="O6" s="4" t="str">
        <f>O4</f>
        <v>2014 план</v>
      </c>
      <c r="P6" s="4" t="str">
        <f>O4</f>
        <v>2014 план</v>
      </c>
      <c r="Q6" s="4" t="str">
        <f>O4</f>
        <v>2014 план</v>
      </c>
      <c r="R6" s="4" t="str">
        <f>O4</f>
        <v>2014 план</v>
      </c>
      <c r="S6" s="4" t="str">
        <f>O4</f>
        <v>2014 план</v>
      </c>
      <c r="T6" s="4" t="str">
        <f>T4</f>
        <v>2014 ожидаемое</v>
      </c>
      <c r="U6" s="4" t="str">
        <f>T4</f>
        <v>2014 ожидаемое</v>
      </c>
      <c r="V6" s="4" t="str">
        <f>T4</f>
        <v>2014 ожидаемое</v>
      </c>
      <c r="W6" s="4" t="str">
        <f>T4</f>
        <v>2014 ожидаемое</v>
      </c>
      <c r="X6" s="38" t="str">
        <f>T4</f>
        <v>2014 ожидаемое</v>
      </c>
      <c r="Y6" s="9" t="str">
        <f>Y4</f>
        <v>1 полугодие 2015 план</v>
      </c>
      <c r="Z6" s="4" t="str">
        <f>Y4</f>
        <v>1 полугодие 2015 план</v>
      </c>
      <c r="AA6" s="4" t="str">
        <f>Y4</f>
        <v>1 полугодие 2015 план</v>
      </c>
      <c r="AB6" s="4" t="str">
        <f>Y4</f>
        <v>1 полугодие 2015 план</v>
      </c>
      <c r="AC6" s="8" t="str">
        <f>Y4</f>
        <v>1 полугодие 2015 план</v>
      </c>
      <c r="AD6" s="9" t="str">
        <f>AD4</f>
        <v>2 полугодие 2015 план</v>
      </c>
      <c r="AE6" s="4" t="str">
        <f>AD4</f>
        <v>2 полугодие 2015 план</v>
      </c>
      <c r="AF6" s="4" t="str">
        <f>AD4</f>
        <v>2 полугодие 2015 план</v>
      </c>
      <c r="AG6" s="4" t="str">
        <f>AD4</f>
        <v>2 полугодие 2015 план</v>
      </c>
      <c r="AH6" s="8" t="str">
        <f>AD4</f>
        <v>2 полугодие 2015 план</v>
      </c>
      <c r="AI6" s="9" t="str">
        <f>AI4</f>
        <v>2015 план</v>
      </c>
      <c r="AJ6" s="4" t="str">
        <f>AI4</f>
        <v>2015 план</v>
      </c>
      <c r="AK6" s="4" t="str">
        <f>AI4</f>
        <v>2015 план</v>
      </c>
      <c r="AL6" s="4" t="str">
        <f>AI4</f>
        <v>2015 план</v>
      </c>
      <c r="AM6" s="8" t="str">
        <f>AI4</f>
        <v>2015 план</v>
      </c>
      <c r="AN6" s="331" t="s">
        <v>137</v>
      </c>
      <c r="AO6" s="255" t="s">
        <v>137</v>
      </c>
      <c r="AP6" s="255" t="s">
        <v>137</v>
      </c>
      <c r="AQ6" s="255" t="s">
        <v>137</v>
      </c>
      <c r="AR6" s="258" t="s">
        <v>137</v>
      </c>
    </row>
    <row r="7" spans="1:44" ht="11.25" customHeight="1" hidden="1">
      <c r="A7" s="9"/>
      <c r="B7" s="162"/>
      <c r="C7" s="328"/>
      <c r="D7" s="162"/>
      <c r="E7" s="4" t="str">
        <f>E5</f>
        <v>Всего</v>
      </c>
      <c r="F7" s="4" t="str">
        <f>F5</f>
        <v>ВН</v>
      </c>
      <c r="G7" s="4" t="str">
        <f>G5</f>
        <v>СН1</v>
      </c>
      <c r="H7" s="4" t="str">
        <f>H5</f>
        <v>СН2</v>
      </c>
      <c r="I7" s="4" t="str">
        <f>I5</f>
        <v>НН</v>
      </c>
      <c r="J7" s="4" t="str">
        <f>J5</f>
        <v>Всего</v>
      </c>
      <c r="K7" s="4" t="str">
        <f>K5</f>
        <v>ВН</v>
      </c>
      <c r="L7" s="4" t="str">
        <f>L5</f>
        <v>СН1</v>
      </c>
      <c r="M7" s="4" t="str">
        <f>M5</f>
        <v>СН2</v>
      </c>
      <c r="N7" s="4" t="str">
        <f>N5</f>
        <v>НН</v>
      </c>
      <c r="O7" s="4" t="str">
        <f>O5</f>
        <v>Всего</v>
      </c>
      <c r="P7" s="4" t="str">
        <f>P5</f>
        <v>ВН</v>
      </c>
      <c r="Q7" s="4" t="str">
        <f>Q5</f>
        <v>СН1</v>
      </c>
      <c r="R7" s="4" t="str">
        <f>R5</f>
        <v>СН2</v>
      </c>
      <c r="S7" s="4" t="str">
        <f>S5</f>
        <v>НН</v>
      </c>
      <c r="T7" s="4" t="str">
        <f>T5</f>
        <v>Всего</v>
      </c>
      <c r="U7" s="4" t="str">
        <f>U5</f>
        <v>ВН</v>
      </c>
      <c r="V7" s="4" t="str">
        <f>V5</f>
        <v>СН1</v>
      </c>
      <c r="W7" s="4" t="str">
        <f>W5</f>
        <v>СН2</v>
      </c>
      <c r="X7" s="38" t="str">
        <f>X5</f>
        <v>НН</v>
      </c>
      <c r="Y7" s="9" t="str">
        <f>Y5</f>
        <v>Всего</v>
      </c>
      <c r="Z7" s="4" t="str">
        <f aca="true" t="shared" si="0" ref="Z7:AR7">Z5</f>
        <v>ВН</v>
      </c>
      <c r="AA7" s="4" t="str">
        <f t="shared" si="0"/>
        <v>СН1</v>
      </c>
      <c r="AB7" s="4" t="str">
        <f t="shared" si="0"/>
        <v>СН2</v>
      </c>
      <c r="AC7" s="8" t="str">
        <f t="shared" si="0"/>
        <v>НН</v>
      </c>
      <c r="AD7" s="9" t="str">
        <f>AD5</f>
        <v>Всего</v>
      </c>
      <c r="AE7" s="4" t="str">
        <f>AE5</f>
        <v>ВН</v>
      </c>
      <c r="AF7" s="4" t="str">
        <f>AF5</f>
        <v>СН1</v>
      </c>
      <c r="AG7" s="4" t="str">
        <f>AG5</f>
        <v>СН2</v>
      </c>
      <c r="AH7" s="8" t="str">
        <f>AH5</f>
        <v>НН</v>
      </c>
      <c r="AI7" s="9" t="str">
        <f>AI5</f>
        <v>Всего</v>
      </c>
      <c r="AJ7" s="4" t="str">
        <f>AJ5</f>
        <v>ВН</v>
      </c>
      <c r="AK7" s="4" t="str">
        <f>AK5</f>
        <v>СН1</v>
      </c>
      <c r="AL7" s="4" t="str">
        <f>AL5</f>
        <v>СН2</v>
      </c>
      <c r="AM7" s="8" t="str">
        <f>AM5</f>
        <v>НН</v>
      </c>
      <c r="AN7" s="62" t="str">
        <f t="shared" si="0"/>
        <v>Всего</v>
      </c>
      <c r="AO7" s="4" t="str">
        <f t="shared" si="0"/>
        <v>ВН</v>
      </c>
      <c r="AP7" s="4" t="str">
        <f t="shared" si="0"/>
        <v>СН1</v>
      </c>
      <c r="AQ7" s="4" t="str">
        <f t="shared" si="0"/>
        <v>СН2</v>
      </c>
      <c r="AR7" s="8" t="str">
        <f t="shared" si="0"/>
        <v>НН</v>
      </c>
    </row>
    <row r="8" spans="1:44" ht="11.25" customHeight="1" hidden="1">
      <c r="A8" s="9"/>
      <c r="B8" s="162"/>
      <c r="C8" s="328"/>
      <c r="D8" s="162"/>
      <c r="E8" s="254" t="s">
        <v>82</v>
      </c>
      <c r="F8" s="254" t="s">
        <v>82</v>
      </c>
      <c r="G8" s="254" t="s">
        <v>82</v>
      </c>
      <c r="H8" s="254" t="s">
        <v>82</v>
      </c>
      <c r="I8" s="254" t="s">
        <v>82</v>
      </c>
      <c r="J8" s="254" t="s">
        <v>81</v>
      </c>
      <c r="K8" s="254" t="s">
        <v>81</v>
      </c>
      <c r="L8" s="254" t="s">
        <v>81</v>
      </c>
      <c r="M8" s="254" t="s">
        <v>81</v>
      </c>
      <c r="N8" s="254" t="s">
        <v>81</v>
      </c>
      <c r="O8" s="254" t="s">
        <v>82</v>
      </c>
      <c r="P8" s="254" t="s">
        <v>82</v>
      </c>
      <c r="Q8" s="254" t="s">
        <v>82</v>
      </c>
      <c r="R8" s="254" t="s">
        <v>82</v>
      </c>
      <c r="S8" s="254" t="s">
        <v>82</v>
      </c>
      <c r="T8" s="254" t="s">
        <v>138</v>
      </c>
      <c r="U8" s="254" t="s">
        <v>138</v>
      </c>
      <c r="V8" s="254" t="s">
        <v>138</v>
      </c>
      <c r="W8" s="254" t="s">
        <v>138</v>
      </c>
      <c r="X8" s="591" t="s">
        <v>138</v>
      </c>
      <c r="Y8" s="335" t="s">
        <v>82</v>
      </c>
      <c r="Z8" s="254" t="s">
        <v>82</v>
      </c>
      <c r="AA8" s="254" t="s">
        <v>82</v>
      </c>
      <c r="AB8" s="254" t="s">
        <v>82</v>
      </c>
      <c r="AC8" s="298" t="s">
        <v>82</v>
      </c>
      <c r="AD8" s="335" t="s">
        <v>82</v>
      </c>
      <c r="AE8" s="254" t="s">
        <v>82</v>
      </c>
      <c r="AF8" s="254" t="s">
        <v>82</v>
      </c>
      <c r="AG8" s="254" t="s">
        <v>82</v>
      </c>
      <c r="AH8" s="298" t="s">
        <v>82</v>
      </c>
      <c r="AI8" s="335" t="s">
        <v>82</v>
      </c>
      <c r="AJ8" s="254" t="s">
        <v>82</v>
      </c>
      <c r="AK8" s="254" t="s">
        <v>82</v>
      </c>
      <c r="AL8" s="254" t="s">
        <v>82</v>
      </c>
      <c r="AM8" s="298" t="s">
        <v>82</v>
      </c>
      <c r="AN8" s="331" t="s">
        <v>137</v>
      </c>
      <c r="AO8" s="255" t="s">
        <v>137</v>
      </c>
      <c r="AP8" s="255" t="s">
        <v>137</v>
      </c>
      <c r="AQ8" s="255" t="s">
        <v>137</v>
      </c>
      <c r="AR8" s="258" t="s">
        <v>137</v>
      </c>
    </row>
    <row r="9" spans="1:44" ht="22.5" customHeight="1" hidden="1">
      <c r="A9" s="9"/>
      <c r="B9" s="162"/>
      <c r="C9" s="328"/>
      <c r="D9" s="162"/>
      <c r="E9" s="254" t="s">
        <v>139</v>
      </c>
      <c r="F9" s="254" t="s">
        <v>139</v>
      </c>
      <c r="G9" s="254" t="s">
        <v>139</v>
      </c>
      <c r="H9" s="254" t="s">
        <v>139</v>
      </c>
      <c r="I9" s="254" t="s">
        <v>139</v>
      </c>
      <c r="J9" s="254" t="s">
        <v>139</v>
      </c>
      <c r="K9" s="254" t="s">
        <v>139</v>
      </c>
      <c r="L9" s="254" t="s">
        <v>139</v>
      </c>
      <c r="M9" s="254" t="s">
        <v>139</v>
      </c>
      <c r="N9" s="254" t="s">
        <v>139</v>
      </c>
      <c r="O9" s="254" t="s">
        <v>139</v>
      </c>
      <c r="P9" s="254" t="s">
        <v>139</v>
      </c>
      <c r="Q9" s="254" t="s">
        <v>139</v>
      </c>
      <c r="R9" s="254" t="s">
        <v>139</v>
      </c>
      <c r="S9" s="254" t="s">
        <v>139</v>
      </c>
      <c r="T9" s="254" t="s">
        <v>139</v>
      </c>
      <c r="U9" s="254" t="s">
        <v>139</v>
      </c>
      <c r="V9" s="254" t="s">
        <v>139</v>
      </c>
      <c r="W9" s="254" t="s">
        <v>139</v>
      </c>
      <c r="X9" s="591" t="s">
        <v>139</v>
      </c>
      <c r="Y9" s="335" t="s">
        <v>139</v>
      </c>
      <c r="Z9" s="254" t="s">
        <v>139</v>
      </c>
      <c r="AA9" s="254" t="s">
        <v>139</v>
      </c>
      <c r="AB9" s="254" t="s">
        <v>139</v>
      </c>
      <c r="AC9" s="298" t="s">
        <v>139</v>
      </c>
      <c r="AD9" s="335" t="s">
        <v>139</v>
      </c>
      <c r="AE9" s="254" t="s">
        <v>139</v>
      </c>
      <c r="AF9" s="254" t="s">
        <v>139</v>
      </c>
      <c r="AG9" s="254" t="s">
        <v>139</v>
      </c>
      <c r="AH9" s="298" t="s">
        <v>139</v>
      </c>
      <c r="AI9" s="335" t="s">
        <v>139</v>
      </c>
      <c r="AJ9" s="254" t="s">
        <v>139</v>
      </c>
      <c r="AK9" s="254" t="s">
        <v>139</v>
      </c>
      <c r="AL9" s="254" t="s">
        <v>139</v>
      </c>
      <c r="AM9" s="298" t="s">
        <v>139</v>
      </c>
      <c r="AN9" s="332" t="s">
        <v>139</v>
      </c>
      <c r="AO9" s="254" t="s">
        <v>139</v>
      </c>
      <c r="AP9" s="254" t="s">
        <v>139</v>
      </c>
      <c r="AQ9" s="254" t="s">
        <v>139</v>
      </c>
      <c r="AR9" s="298" t="s">
        <v>139</v>
      </c>
    </row>
    <row r="10" spans="1:44" ht="12" thickBot="1">
      <c r="A10" s="49">
        <v>1</v>
      </c>
      <c r="B10" s="163">
        <v>2</v>
      </c>
      <c r="C10" s="163"/>
      <c r="D10" s="163"/>
      <c r="E10" s="50">
        <v>3</v>
      </c>
      <c r="F10" s="50">
        <f>E10+1</f>
        <v>4</v>
      </c>
      <c r="G10" s="50">
        <f aca="true" t="shared" si="1" ref="G10:AM10">F10+1</f>
        <v>5</v>
      </c>
      <c r="H10" s="50">
        <f t="shared" si="1"/>
        <v>6</v>
      </c>
      <c r="I10" s="50">
        <f t="shared" si="1"/>
        <v>7</v>
      </c>
      <c r="J10" s="50">
        <f t="shared" si="1"/>
        <v>8</v>
      </c>
      <c r="K10" s="50">
        <f t="shared" si="1"/>
        <v>9</v>
      </c>
      <c r="L10" s="50">
        <f t="shared" si="1"/>
        <v>10</v>
      </c>
      <c r="M10" s="50">
        <f t="shared" si="1"/>
        <v>11</v>
      </c>
      <c r="N10" s="50">
        <f t="shared" si="1"/>
        <v>12</v>
      </c>
      <c r="O10" s="50">
        <f t="shared" si="1"/>
        <v>13</v>
      </c>
      <c r="P10" s="50">
        <f t="shared" si="1"/>
        <v>14</v>
      </c>
      <c r="Q10" s="50">
        <f t="shared" si="1"/>
        <v>15</v>
      </c>
      <c r="R10" s="50">
        <f t="shared" si="1"/>
        <v>16</v>
      </c>
      <c r="S10" s="50">
        <f t="shared" si="1"/>
        <v>17</v>
      </c>
      <c r="T10" s="50">
        <f t="shared" si="1"/>
        <v>18</v>
      </c>
      <c r="U10" s="50">
        <f t="shared" si="1"/>
        <v>19</v>
      </c>
      <c r="V10" s="50">
        <f t="shared" si="1"/>
        <v>20</v>
      </c>
      <c r="W10" s="50">
        <f t="shared" si="1"/>
        <v>21</v>
      </c>
      <c r="X10" s="593">
        <f t="shared" si="1"/>
        <v>22</v>
      </c>
      <c r="Y10" s="49">
        <f t="shared" si="1"/>
        <v>23</v>
      </c>
      <c r="Z10" s="50">
        <f t="shared" si="1"/>
        <v>24</v>
      </c>
      <c r="AA10" s="50">
        <f t="shared" si="1"/>
        <v>25</v>
      </c>
      <c r="AB10" s="50">
        <f t="shared" si="1"/>
        <v>26</v>
      </c>
      <c r="AC10" s="51">
        <f t="shared" si="1"/>
        <v>27</v>
      </c>
      <c r="AD10" s="49">
        <f t="shared" si="1"/>
        <v>28</v>
      </c>
      <c r="AE10" s="50">
        <f t="shared" si="1"/>
        <v>29</v>
      </c>
      <c r="AF10" s="50">
        <f t="shared" si="1"/>
        <v>30</v>
      </c>
      <c r="AG10" s="50">
        <f t="shared" si="1"/>
        <v>31</v>
      </c>
      <c r="AH10" s="51">
        <f t="shared" si="1"/>
        <v>32</v>
      </c>
      <c r="AI10" s="49">
        <f t="shared" si="1"/>
        <v>33</v>
      </c>
      <c r="AJ10" s="50">
        <f t="shared" si="1"/>
        <v>34</v>
      </c>
      <c r="AK10" s="50">
        <f t="shared" si="1"/>
        <v>35</v>
      </c>
      <c r="AL10" s="50">
        <f t="shared" si="1"/>
        <v>36</v>
      </c>
      <c r="AM10" s="51">
        <f t="shared" si="1"/>
        <v>37</v>
      </c>
      <c r="AN10" s="600"/>
      <c r="AO10" s="50"/>
      <c r="AP10" s="50"/>
      <c r="AQ10" s="50"/>
      <c r="AR10" s="51"/>
    </row>
    <row r="11" spans="1:44" ht="11.25" customHeight="1">
      <c r="A11" s="134" t="s">
        <v>36</v>
      </c>
      <c r="B11" s="135" t="s">
        <v>128</v>
      </c>
      <c r="C11" s="135" t="s">
        <v>38</v>
      </c>
      <c r="D11" s="135" t="s">
        <v>129</v>
      </c>
      <c r="E11" s="539">
        <f aca="true" t="shared" si="2" ref="E11:AM11">E12+E18+E19+E20</f>
        <v>0</v>
      </c>
      <c r="F11" s="539">
        <f t="shared" si="2"/>
        <v>0</v>
      </c>
      <c r="G11" s="539">
        <f t="shared" si="2"/>
        <v>0</v>
      </c>
      <c r="H11" s="539">
        <f t="shared" si="2"/>
        <v>0</v>
      </c>
      <c r="I11" s="539">
        <f t="shared" si="2"/>
        <v>0</v>
      </c>
      <c r="J11" s="539">
        <f t="shared" si="2"/>
        <v>0</v>
      </c>
      <c r="K11" s="539">
        <f t="shared" si="2"/>
        <v>0</v>
      </c>
      <c r="L11" s="539">
        <f t="shared" si="2"/>
        <v>0</v>
      </c>
      <c r="M11" s="539">
        <f t="shared" si="2"/>
        <v>0</v>
      </c>
      <c r="N11" s="539">
        <f t="shared" si="2"/>
        <v>0</v>
      </c>
      <c r="O11" s="539">
        <f t="shared" si="2"/>
        <v>0</v>
      </c>
      <c r="P11" s="539">
        <f t="shared" si="2"/>
        <v>0</v>
      </c>
      <c r="Q11" s="539">
        <f t="shared" si="2"/>
        <v>0</v>
      </c>
      <c r="R11" s="539">
        <f t="shared" si="2"/>
        <v>0</v>
      </c>
      <c r="S11" s="539">
        <f t="shared" si="2"/>
        <v>0</v>
      </c>
      <c r="T11" s="539">
        <f t="shared" si="2"/>
        <v>0</v>
      </c>
      <c r="U11" s="539">
        <f t="shared" si="2"/>
        <v>0</v>
      </c>
      <c r="V11" s="539">
        <f t="shared" si="2"/>
        <v>0</v>
      </c>
      <c r="W11" s="539">
        <f t="shared" si="2"/>
        <v>0</v>
      </c>
      <c r="X11" s="594">
        <f t="shared" si="2"/>
        <v>0</v>
      </c>
      <c r="Y11" s="601">
        <f t="shared" si="2"/>
        <v>0</v>
      </c>
      <c r="Z11" s="539">
        <f t="shared" si="2"/>
        <v>0</v>
      </c>
      <c r="AA11" s="539">
        <f t="shared" si="2"/>
        <v>0</v>
      </c>
      <c r="AB11" s="539">
        <f t="shared" si="2"/>
        <v>0</v>
      </c>
      <c r="AC11" s="602">
        <f t="shared" si="2"/>
        <v>0</v>
      </c>
      <c r="AD11" s="601">
        <f t="shared" si="2"/>
        <v>0</v>
      </c>
      <c r="AE11" s="539">
        <f t="shared" si="2"/>
        <v>0</v>
      </c>
      <c r="AF11" s="539">
        <f t="shared" si="2"/>
        <v>0</v>
      </c>
      <c r="AG11" s="539">
        <f t="shared" si="2"/>
        <v>0</v>
      </c>
      <c r="AH11" s="602">
        <f t="shared" si="2"/>
        <v>0</v>
      </c>
      <c r="AI11" s="601">
        <f t="shared" si="2"/>
        <v>0</v>
      </c>
      <c r="AJ11" s="539">
        <f t="shared" si="2"/>
        <v>0</v>
      </c>
      <c r="AK11" s="539">
        <f t="shared" si="2"/>
        <v>0</v>
      </c>
      <c r="AL11" s="539">
        <f t="shared" si="2"/>
        <v>0</v>
      </c>
      <c r="AM11" s="602">
        <f t="shared" si="2"/>
        <v>0</v>
      </c>
      <c r="AN11" s="605">
        <f aca="true" t="shared" si="3" ref="AN11:AN31">IF(ISERROR(AI11/O11),0,AI11/O11)</f>
        <v>0</v>
      </c>
      <c r="AO11" s="605">
        <f aca="true" t="shared" si="4" ref="AO11:AR26">IF(ISERROR(AJ11/P11),0,AJ11/P11)</f>
        <v>0</v>
      </c>
      <c r="AP11" s="605">
        <f t="shared" si="4"/>
        <v>0</v>
      </c>
      <c r="AQ11" s="605">
        <f t="shared" si="4"/>
        <v>0</v>
      </c>
      <c r="AR11" s="605">
        <f t="shared" si="4"/>
        <v>0</v>
      </c>
    </row>
    <row r="12" spans="1:44" ht="11.25">
      <c r="A12" s="5" t="s">
        <v>90</v>
      </c>
      <c r="B12" s="39" t="s">
        <v>91</v>
      </c>
      <c r="C12" s="39" t="s">
        <v>41</v>
      </c>
      <c r="D12" s="39" t="s">
        <v>129</v>
      </c>
      <c r="E12" s="540"/>
      <c r="F12" s="520">
        <f>F14+F15+F16+F17</f>
        <v>0</v>
      </c>
      <c r="G12" s="520">
        <f>G14+G15+G16+G17</f>
        <v>0</v>
      </c>
      <c r="H12" s="520">
        <f>H14+H15+H16+H17</f>
        <v>0</v>
      </c>
      <c r="I12" s="520">
        <f>I14+I15+I16+I17</f>
        <v>0</v>
      </c>
      <c r="J12" s="540"/>
      <c r="K12" s="520">
        <f>K14+K15+K16+K17</f>
        <v>0</v>
      </c>
      <c r="L12" s="520">
        <f>L14+L15+L16+L17</f>
        <v>0</v>
      </c>
      <c r="M12" s="520">
        <f>M14+M15+M16+M17</f>
        <v>0</v>
      </c>
      <c r="N12" s="520">
        <f>N14+N15+N16+N17</f>
        <v>0</v>
      </c>
      <c r="O12" s="540"/>
      <c r="P12" s="520">
        <f>P14+P15+P16+P17</f>
        <v>0</v>
      </c>
      <c r="Q12" s="520">
        <f>Q14+Q15+Q16+Q17</f>
        <v>0</v>
      </c>
      <c r="R12" s="520">
        <f>R14+R15+R16+R17</f>
        <v>0</v>
      </c>
      <c r="S12" s="520">
        <f>S14+S15+S16+S17</f>
        <v>0</v>
      </c>
      <c r="T12" s="540"/>
      <c r="U12" s="520">
        <f>U14+U15+U16+U17</f>
        <v>0</v>
      </c>
      <c r="V12" s="520">
        <f>V14+V15+V16+V17</f>
        <v>0</v>
      </c>
      <c r="W12" s="520">
        <f>W14+W15+W16+W17</f>
        <v>0</v>
      </c>
      <c r="X12" s="586">
        <f>X14+X15+X16+X17</f>
        <v>0</v>
      </c>
      <c r="Y12" s="522"/>
      <c r="Z12" s="520">
        <f>Z14+Z15+Z16+Z17</f>
        <v>0</v>
      </c>
      <c r="AA12" s="520">
        <f>AA14+AA15+AA16+AA17</f>
        <v>0</v>
      </c>
      <c r="AB12" s="520">
        <f>AB14+AB15+AB16+AB17</f>
        <v>0</v>
      </c>
      <c r="AC12" s="521">
        <f>AC14+AC15+AC16+AC17</f>
        <v>0</v>
      </c>
      <c r="AD12" s="522"/>
      <c r="AE12" s="520">
        <f>AE14+AE15+AE16+AE17</f>
        <v>0</v>
      </c>
      <c r="AF12" s="520">
        <f>AF14+AF15+AF16+AF17</f>
        <v>0</v>
      </c>
      <c r="AG12" s="520">
        <f>AG14+AG15+AG16+AG17</f>
        <v>0</v>
      </c>
      <c r="AH12" s="521">
        <f>AH14+AH15+AH16+AH17</f>
        <v>0</v>
      </c>
      <c r="AI12" s="522"/>
      <c r="AJ12" s="520">
        <f>AJ14+AJ15+AJ16+AJ17</f>
        <v>0</v>
      </c>
      <c r="AK12" s="520">
        <f>AK14+AK15+AK16+AK17</f>
        <v>0</v>
      </c>
      <c r="AL12" s="520">
        <f>AL14+AL15+AL16+AL17</f>
        <v>0</v>
      </c>
      <c r="AM12" s="521">
        <f>AM14+AM15+AM16+AM17</f>
        <v>0</v>
      </c>
      <c r="AN12" s="605">
        <f t="shared" si="3"/>
        <v>0</v>
      </c>
      <c r="AO12" s="605">
        <f t="shared" si="4"/>
        <v>0</v>
      </c>
      <c r="AP12" s="605">
        <f t="shared" si="4"/>
        <v>0</v>
      </c>
      <c r="AQ12" s="605">
        <f t="shared" si="4"/>
        <v>0</v>
      </c>
      <c r="AR12" s="605">
        <f t="shared" si="4"/>
        <v>0</v>
      </c>
    </row>
    <row r="13" spans="1:44" ht="11.25">
      <c r="A13" s="5"/>
      <c r="B13" s="39" t="s">
        <v>92</v>
      </c>
      <c r="C13" s="39"/>
      <c r="D13" s="39"/>
      <c r="E13" s="524"/>
      <c r="F13" s="524"/>
      <c r="G13" s="524"/>
      <c r="H13" s="524"/>
      <c r="I13" s="524"/>
      <c r="J13" s="524"/>
      <c r="K13" s="524"/>
      <c r="L13" s="524"/>
      <c r="M13" s="524"/>
      <c r="N13" s="524"/>
      <c r="O13" s="524"/>
      <c r="P13" s="524"/>
      <c r="Q13" s="524"/>
      <c r="R13" s="524"/>
      <c r="S13" s="524"/>
      <c r="T13" s="524"/>
      <c r="U13" s="524"/>
      <c r="V13" s="524"/>
      <c r="W13" s="524"/>
      <c r="X13" s="587"/>
      <c r="Y13" s="523"/>
      <c r="Z13" s="524"/>
      <c r="AA13" s="524"/>
      <c r="AB13" s="524"/>
      <c r="AC13" s="525"/>
      <c r="AD13" s="523"/>
      <c r="AE13" s="524"/>
      <c r="AF13" s="524"/>
      <c r="AG13" s="524"/>
      <c r="AH13" s="525"/>
      <c r="AI13" s="523"/>
      <c r="AJ13" s="524"/>
      <c r="AK13" s="524"/>
      <c r="AL13" s="524"/>
      <c r="AM13" s="525"/>
      <c r="AN13" s="605">
        <f t="shared" si="3"/>
        <v>0</v>
      </c>
      <c r="AO13" s="605">
        <f t="shared" si="4"/>
        <v>0</v>
      </c>
      <c r="AP13" s="605">
        <f t="shared" si="4"/>
        <v>0</v>
      </c>
      <c r="AQ13" s="605">
        <f t="shared" si="4"/>
        <v>0</v>
      </c>
      <c r="AR13" s="605">
        <f t="shared" si="4"/>
        <v>0</v>
      </c>
    </row>
    <row r="14" spans="1:44" ht="11.25">
      <c r="A14" s="5"/>
      <c r="B14" s="39" t="s">
        <v>93</v>
      </c>
      <c r="C14" s="39" t="s">
        <v>140</v>
      </c>
      <c r="D14" s="39" t="s">
        <v>129</v>
      </c>
      <c r="E14" s="524"/>
      <c r="F14" s="551"/>
      <c r="G14" s="551"/>
      <c r="H14" s="551"/>
      <c r="I14" s="551"/>
      <c r="J14" s="524"/>
      <c r="K14" s="551"/>
      <c r="L14" s="551"/>
      <c r="M14" s="551"/>
      <c r="N14" s="551"/>
      <c r="O14" s="524"/>
      <c r="P14" s="551"/>
      <c r="Q14" s="551"/>
      <c r="R14" s="551"/>
      <c r="S14" s="551"/>
      <c r="T14" s="524"/>
      <c r="U14" s="551"/>
      <c r="V14" s="551"/>
      <c r="W14" s="551"/>
      <c r="X14" s="595"/>
      <c r="Y14" s="523"/>
      <c r="Z14" s="526"/>
      <c r="AA14" s="526"/>
      <c r="AB14" s="526"/>
      <c r="AC14" s="527"/>
      <c r="AD14" s="523"/>
      <c r="AE14" s="526"/>
      <c r="AF14" s="526"/>
      <c r="AG14" s="526"/>
      <c r="AH14" s="527"/>
      <c r="AI14" s="523"/>
      <c r="AJ14" s="526"/>
      <c r="AK14" s="526"/>
      <c r="AL14" s="526"/>
      <c r="AM14" s="527"/>
      <c r="AN14" s="605">
        <f t="shared" si="3"/>
        <v>0</v>
      </c>
      <c r="AO14" s="605">
        <f t="shared" si="4"/>
        <v>0</v>
      </c>
      <c r="AP14" s="605">
        <f t="shared" si="4"/>
        <v>0</v>
      </c>
      <c r="AQ14" s="605">
        <f t="shared" si="4"/>
        <v>0</v>
      </c>
      <c r="AR14" s="605">
        <f t="shared" si="4"/>
        <v>0</v>
      </c>
    </row>
    <row r="15" spans="1:44" ht="11.25">
      <c r="A15" s="5"/>
      <c r="B15" s="39" t="s">
        <v>28</v>
      </c>
      <c r="C15" s="39" t="s">
        <v>141</v>
      </c>
      <c r="D15" s="39" t="s">
        <v>129</v>
      </c>
      <c r="E15" s="524"/>
      <c r="F15" s="553"/>
      <c r="G15" s="553"/>
      <c r="H15" s="553"/>
      <c r="I15" s="553"/>
      <c r="J15" s="524"/>
      <c r="K15" s="553"/>
      <c r="L15" s="553"/>
      <c r="M15" s="553"/>
      <c r="N15" s="553"/>
      <c r="O15" s="524"/>
      <c r="P15" s="553"/>
      <c r="Q15" s="553"/>
      <c r="R15" s="553"/>
      <c r="S15" s="553"/>
      <c r="T15" s="524"/>
      <c r="U15" s="553"/>
      <c r="V15" s="553"/>
      <c r="W15" s="553"/>
      <c r="X15" s="596"/>
      <c r="Y15" s="523"/>
      <c r="Z15" s="528"/>
      <c r="AA15" s="528"/>
      <c r="AB15" s="528"/>
      <c r="AC15" s="529"/>
      <c r="AD15" s="523"/>
      <c r="AE15" s="528"/>
      <c r="AF15" s="528"/>
      <c r="AG15" s="528"/>
      <c r="AH15" s="529"/>
      <c r="AI15" s="523"/>
      <c r="AJ15" s="528"/>
      <c r="AK15" s="528"/>
      <c r="AL15" s="528"/>
      <c r="AM15" s="529"/>
      <c r="AN15" s="605">
        <f t="shared" si="3"/>
        <v>0</v>
      </c>
      <c r="AO15" s="605">
        <f t="shared" si="4"/>
        <v>0</v>
      </c>
      <c r="AP15" s="605">
        <f t="shared" si="4"/>
        <v>0</v>
      </c>
      <c r="AQ15" s="605">
        <f t="shared" si="4"/>
        <v>0</v>
      </c>
      <c r="AR15" s="605">
        <f t="shared" si="4"/>
        <v>0</v>
      </c>
    </row>
    <row r="16" spans="1:44" ht="11.25">
      <c r="A16" s="5"/>
      <c r="B16" s="39" t="s">
        <v>29</v>
      </c>
      <c r="C16" s="39" t="s">
        <v>142</v>
      </c>
      <c r="D16" s="39" t="s">
        <v>129</v>
      </c>
      <c r="E16" s="524"/>
      <c r="F16" s="553"/>
      <c r="G16" s="553"/>
      <c r="H16" s="553"/>
      <c r="I16" s="553"/>
      <c r="J16" s="524"/>
      <c r="K16" s="553"/>
      <c r="L16" s="553"/>
      <c r="M16" s="553"/>
      <c r="N16" s="553"/>
      <c r="O16" s="524"/>
      <c r="P16" s="553"/>
      <c r="Q16" s="553"/>
      <c r="R16" s="553"/>
      <c r="S16" s="553"/>
      <c r="T16" s="524"/>
      <c r="U16" s="553"/>
      <c r="V16" s="553"/>
      <c r="W16" s="553"/>
      <c r="X16" s="596"/>
      <c r="Y16" s="523"/>
      <c r="Z16" s="528"/>
      <c r="AA16" s="528"/>
      <c r="AB16" s="528"/>
      <c r="AC16" s="529"/>
      <c r="AD16" s="523"/>
      <c r="AE16" s="528"/>
      <c r="AF16" s="528"/>
      <c r="AG16" s="528"/>
      <c r="AH16" s="529"/>
      <c r="AI16" s="523"/>
      <c r="AJ16" s="528"/>
      <c r="AK16" s="528"/>
      <c r="AL16" s="528"/>
      <c r="AM16" s="529"/>
      <c r="AN16" s="605">
        <f t="shared" si="3"/>
        <v>0</v>
      </c>
      <c r="AO16" s="605">
        <f t="shared" si="4"/>
        <v>0</v>
      </c>
      <c r="AP16" s="605">
        <f t="shared" si="4"/>
        <v>0</v>
      </c>
      <c r="AQ16" s="605">
        <f t="shared" si="4"/>
        <v>0</v>
      </c>
      <c r="AR16" s="605">
        <f t="shared" si="4"/>
        <v>0</v>
      </c>
    </row>
    <row r="17" spans="1:44" ht="11.25">
      <c r="A17" s="5"/>
      <c r="B17" s="39" t="s">
        <v>30</v>
      </c>
      <c r="C17" s="39" t="s">
        <v>143</v>
      </c>
      <c r="D17" s="39" t="s">
        <v>129</v>
      </c>
      <c r="E17" s="524"/>
      <c r="F17" s="553"/>
      <c r="G17" s="553"/>
      <c r="H17" s="553"/>
      <c r="I17" s="553"/>
      <c r="J17" s="524"/>
      <c r="K17" s="553"/>
      <c r="L17" s="553"/>
      <c r="M17" s="553"/>
      <c r="N17" s="553"/>
      <c r="O17" s="524"/>
      <c r="P17" s="553"/>
      <c r="Q17" s="553"/>
      <c r="R17" s="553"/>
      <c r="S17" s="553"/>
      <c r="T17" s="524"/>
      <c r="U17" s="553"/>
      <c r="V17" s="553"/>
      <c r="W17" s="553"/>
      <c r="X17" s="596"/>
      <c r="Y17" s="523"/>
      <c r="Z17" s="528"/>
      <c r="AA17" s="528"/>
      <c r="AB17" s="528"/>
      <c r="AC17" s="529"/>
      <c r="AD17" s="523"/>
      <c r="AE17" s="528"/>
      <c r="AF17" s="528"/>
      <c r="AG17" s="528"/>
      <c r="AH17" s="529"/>
      <c r="AI17" s="523"/>
      <c r="AJ17" s="528"/>
      <c r="AK17" s="528"/>
      <c r="AL17" s="528"/>
      <c r="AM17" s="529"/>
      <c r="AN17" s="605">
        <f t="shared" si="3"/>
        <v>0</v>
      </c>
      <c r="AO17" s="605">
        <f t="shared" si="4"/>
        <v>0</v>
      </c>
      <c r="AP17" s="605">
        <f t="shared" si="4"/>
        <v>0</v>
      </c>
      <c r="AQ17" s="605">
        <f t="shared" si="4"/>
        <v>0</v>
      </c>
      <c r="AR17" s="605">
        <f t="shared" si="4"/>
        <v>0</v>
      </c>
    </row>
    <row r="18" spans="1:44" ht="11.25">
      <c r="A18" s="5" t="s">
        <v>94</v>
      </c>
      <c r="B18" s="39" t="s">
        <v>95</v>
      </c>
      <c r="C18" s="39" t="s">
        <v>44</v>
      </c>
      <c r="D18" s="39" t="s">
        <v>129</v>
      </c>
      <c r="E18" s="520">
        <f>SUM(F18:I18)</f>
        <v>0</v>
      </c>
      <c r="F18" s="553"/>
      <c r="G18" s="553"/>
      <c r="H18" s="553"/>
      <c r="I18" s="553"/>
      <c r="J18" s="520">
        <f>SUM(K18:N18)</f>
        <v>0</v>
      </c>
      <c r="K18" s="553"/>
      <c r="L18" s="553"/>
      <c r="M18" s="553"/>
      <c r="N18" s="553"/>
      <c r="O18" s="520">
        <f>SUM(P18:S18)</f>
        <v>0</v>
      </c>
      <c r="P18" s="553"/>
      <c r="Q18" s="553"/>
      <c r="R18" s="553"/>
      <c r="S18" s="553"/>
      <c r="T18" s="520">
        <f>SUM(U18:X18)</f>
        <v>0</v>
      </c>
      <c r="U18" s="553"/>
      <c r="V18" s="553"/>
      <c r="W18" s="553"/>
      <c r="X18" s="596"/>
      <c r="Y18" s="519">
        <f>SUM(Z18:AC18)</f>
        <v>0</v>
      </c>
      <c r="Z18" s="528"/>
      <c r="AA18" s="528"/>
      <c r="AB18" s="528"/>
      <c r="AC18" s="529"/>
      <c r="AD18" s="519">
        <f>SUM(AE18:AH18)</f>
        <v>0</v>
      </c>
      <c r="AE18" s="528"/>
      <c r="AF18" s="528"/>
      <c r="AG18" s="528"/>
      <c r="AH18" s="529"/>
      <c r="AI18" s="519">
        <f>SUM(AJ18:AM18)</f>
        <v>0</v>
      </c>
      <c r="AJ18" s="528"/>
      <c r="AK18" s="528"/>
      <c r="AL18" s="528"/>
      <c r="AM18" s="529"/>
      <c r="AN18" s="605">
        <f t="shared" si="3"/>
        <v>0</v>
      </c>
      <c r="AO18" s="605">
        <f t="shared" si="4"/>
        <v>0</v>
      </c>
      <c r="AP18" s="605">
        <f t="shared" si="4"/>
        <v>0</v>
      </c>
      <c r="AQ18" s="605">
        <f t="shared" si="4"/>
        <v>0</v>
      </c>
      <c r="AR18" s="605">
        <f t="shared" si="4"/>
        <v>0</v>
      </c>
    </row>
    <row r="19" spans="1:44" ht="11.25">
      <c r="A19" s="5" t="s">
        <v>96</v>
      </c>
      <c r="B19" s="39" t="s">
        <v>97</v>
      </c>
      <c r="C19" s="39" t="s">
        <v>47</v>
      </c>
      <c r="D19" s="39" t="s">
        <v>129</v>
      </c>
      <c r="E19" s="520">
        <f>SUM(F19:I19)</f>
        <v>0</v>
      </c>
      <c r="F19" s="553"/>
      <c r="G19" s="553"/>
      <c r="H19" s="553"/>
      <c r="I19" s="553"/>
      <c r="J19" s="520">
        <f>SUM(K19:N19)</f>
        <v>0</v>
      </c>
      <c r="K19" s="553"/>
      <c r="L19" s="553"/>
      <c r="M19" s="553"/>
      <c r="N19" s="553"/>
      <c r="O19" s="520">
        <f>SUM(P19:S19)</f>
        <v>0</v>
      </c>
      <c r="P19" s="553"/>
      <c r="Q19" s="553"/>
      <c r="R19" s="553"/>
      <c r="S19" s="553"/>
      <c r="T19" s="520">
        <f>SUM(U19:X19)</f>
        <v>0</v>
      </c>
      <c r="U19" s="553"/>
      <c r="V19" s="553"/>
      <c r="W19" s="553"/>
      <c r="X19" s="596"/>
      <c r="Y19" s="519">
        <f>SUM(Z19:AC19)</f>
        <v>0</v>
      </c>
      <c r="Z19" s="528"/>
      <c r="AA19" s="528"/>
      <c r="AB19" s="528"/>
      <c r="AC19" s="529"/>
      <c r="AD19" s="519">
        <f>SUM(AE19:AH19)</f>
        <v>0</v>
      </c>
      <c r="AE19" s="528"/>
      <c r="AF19" s="528"/>
      <c r="AG19" s="528"/>
      <c r="AH19" s="529"/>
      <c r="AI19" s="519">
        <f>SUM(AJ19:AM19)</f>
        <v>0</v>
      </c>
      <c r="AJ19" s="528"/>
      <c r="AK19" s="528"/>
      <c r="AL19" s="528"/>
      <c r="AM19" s="529"/>
      <c r="AN19" s="605">
        <f t="shared" si="3"/>
        <v>0</v>
      </c>
      <c r="AO19" s="605">
        <f t="shared" si="4"/>
        <v>0</v>
      </c>
      <c r="AP19" s="605">
        <f t="shared" si="4"/>
        <v>0</v>
      </c>
      <c r="AQ19" s="605">
        <f t="shared" si="4"/>
        <v>0</v>
      </c>
      <c r="AR19" s="605">
        <f t="shared" si="4"/>
        <v>0</v>
      </c>
    </row>
    <row r="20" spans="1:44" ht="11.25">
      <c r="A20" s="5" t="s">
        <v>98</v>
      </c>
      <c r="B20" s="39" t="s">
        <v>130</v>
      </c>
      <c r="C20" s="39" t="s">
        <v>50</v>
      </c>
      <c r="D20" s="39" t="s">
        <v>129</v>
      </c>
      <c r="E20" s="520">
        <f>SUM(F20:I20)</f>
        <v>0</v>
      </c>
      <c r="F20" s="553"/>
      <c r="G20" s="553"/>
      <c r="H20" s="553"/>
      <c r="I20" s="553"/>
      <c r="J20" s="520">
        <f>SUM(K20:N20)</f>
        <v>0</v>
      </c>
      <c r="K20" s="553"/>
      <c r="L20" s="553"/>
      <c r="M20" s="553"/>
      <c r="N20" s="553"/>
      <c r="O20" s="520">
        <f>SUM(P20:S20)</f>
        <v>0</v>
      </c>
      <c r="P20" s="553"/>
      <c r="Q20" s="553"/>
      <c r="R20" s="553"/>
      <c r="S20" s="553"/>
      <c r="T20" s="520">
        <f>SUM(U20:X20)</f>
        <v>0</v>
      </c>
      <c r="U20" s="553"/>
      <c r="V20" s="553"/>
      <c r="W20" s="553"/>
      <c r="X20" s="596"/>
      <c r="Y20" s="519">
        <f>SUM(Z20:AC20)</f>
        <v>0</v>
      </c>
      <c r="Z20" s="528"/>
      <c r="AA20" s="528"/>
      <c r="AB20" s="528"/>
      <c r="AC20" s="529"/>
      <c r="AD20" s="519">
        <f>SUM(AE20:AH20)</f>
        <v>0</v>
      </c>
      <c r="AE20" s="528"/>
      <c r="AF20" s="528"/>
      <c r="AG20" s="528"/>
      <c r="AH20" s="529"/>
      <c r="AI20" s="519">
        <f>SUM(AJ20:AM20)</f>
        <v>0</v>
      </c>
      <c r="AJ20" s="528"/>
      <c r="AK20" s="528"/>
      <c r="AL20" s="528"/>
      <c r="AM20" s="529"/>
      <c r="AN20" s="605">
        <f t="shared" si="3"/>
        <v>0</v>
      </c>
      <c r="AO20" s="605">
        <f t="shared" si="4"/>
        <v>0</v>
      </c>
      <c r="AP20" s="605">
        <f t="shared" si="4"/>
        <v>0</v>
      </c>
      <c r="AQ20" s="605">
        <f t="shared" si="4"/>
        <v>0</v>
      </c>
      <c r="AR20" s="605">
        <f t="shared" si="4"/>
        <v>0</v>
      </c>
    </row>
    <row r="21" spans="1:44" ht="11.25">
      <c r="A21" s="5" t="s">
        <v>69</v>
      </c>
      <c r="B21" s="39" t="s">
        <v>131</v>
      </c>
      <c r="C21" s="39" t="s">
        <v>71</v>
      </c>
      <c r="D21" s="39" t="s">
        <v>129</v>
      </c>
      <c r="E21" s="520">
        <f>SUM(F21:I21)</f>
        <v>0</v>
      </c>
      <c r="F21" s="556"/>
      <c r="G21" s="556"/>
      <c r="H21" s="556"/>
      <c r="I21" s="556"/>
      <c r="J21" s="520">
        <f>SUM(K21:N21)</f>
        <v>0</v>
      </c>
      <c r="K21" s="556"/>
      <c r="L21" s="556"/>
      <c r="M21" s="556"/>
      <c r="N21" s="556"/>
      <c r="O21" s="520">
        <f>SUM(P21:S21)</f>
        <v>0</v>
      </c>
      <c r="P21" s="556"/>
      <c r="Q21" s="556"/>
      <c r="R21" s="556"/>
      <c r="S21" s="556"/>
      <c r="T21" s="520">
        <f>SUM(U21:X21)</f>
        <v>0</v>
      </c>
      <c r="U21" s="556"/>
      <c r="V21" s="556"/>
      <c r="W21" s="556"/>
      <c r="X21" s="597"/>
      <c r="Y21" s="519">
        <f>SUM(Z21:AC21)</f>
        <v>0</v>
      </c>
      <c r="Z21" s="541"/>
      <c r="AA21" s="541"/>
      <c r="AB21" s="541"/>
      <c r="AC21" s="542"/>
      <c r="AD21" s="519">
        <f>SUM(AE21:AH21)</f>
        <v>0</v>
      </c>
      <c r="AE21" s="541"/>
      <c r="AF21" s="541"/>
      <c r="AG21" s="541"/>
      <c r="AH21" s="542"/>
      <c r="AI21" s="519">
        <f>SUM(AJ21:AM21)</f>
        <v>0</v>
      </c>
      <c r="AJ21" s="541"/>
      <c r="AK21" s="541"/>
      <c r="AL21" s="541"/>
      <c r="AM21" s="542"/>
      <c r="AN21" s="605">
        <f t="shared" si="3"/>
        <v>0</v>
      </c>
      <c r="AO21" s="605">
        <f t="shared" si="4"/>
        <v>0</v>
      </c>
      <c r="AP21" s="605">
        <f t="shared" si="4"/>
        <v>0</v>
      </c>
      <c r="AQ21" s="605">
        <f t="shared" si="4"/>
        <v>0</v>
      </c>
      <c r="AR21" s="605">
        <f t="shared" si="4"/>
        <v>0</v>
      </c>
    </row>
    <row r="22" spans="1:44" ht="11.25">
      <c r="A22" s="5"/>
      <c r="B22" s="39" t="s">
        <v>132</v>
      </c>
      <c r="C22" s="39" t="s">
        <v>74</v>
      </c>
      <c r="D22" s="39" t="s">
        <v>102</v>
      </c>
      <c r="E22" s="540"/>
      <c r="F22" s="530">
        <f>IF(F11=0,0,F21/F11*100)</f>
        <v>0</v>
      </c>
      <c r="G22" s="530">
        <f>IF(G11=0,0,G21/G11*100)</f>
        <v>0</v>
      </c>
      <c r="H22" s="530">
        <f>IF(H11=0,0,H21/H11*100)</f>
        <v>0</v>
      </c>
      <c r="I22" s="530">
        <f>IF(I11=0,0,I21/I11*100)</f>
        <v>0</v>
      </c>
      <c r="J22" s="540"/>
      <c r="K22" s="530">
        <f>IF(K11=0,0,K21/K11*100)</f>
        <v>0</v>
      </c>
      <c r="L22" s="530">
        <f>IF(L11=0,0,L21/L11*100)</f>
        <v>0</v>
      </c>
      <c r="M22" s="530">
        <f>IF(M11=0,0,M21/M11*100)</f>
        <v>0</v>
      </c>
      <c r="N22" s="530">
        <f>IF(N11=0,0,N21/N11*100)</f>
        <v>0</v>
      </c>
      <c r="O22" s="540"/>
      <c r="P22" s="530">
        <f>IF(P11=0,0,P21/P11*100)</f>
        <v>0</v>
      </c>
      <c r="Q22" s="530">
        <f>IF(Q11=0,0,Q21/Q11*100)</f>
        <v>0</v>
      </c>
      <c r="R22" s="530">
        <f>IF(R11=0,0,R21/R11*100)</f>
        <v>0</v>
      </c>
      <c r="S22" s="530">
        <f>IF(S11=0,0,S21/S11*100)</f>
        <v>0</v>
      </c>
      <c r="T22" s="540"/>
      <c r="U22" s="530">
        <f>IF(U11=0,0,U21/U11*100)</f>
        <v>0</v>
      </c>
      <c r="V22" s="530">
        <f>IF(V11=0,0,V21/V11*100)</f>
        <v>0</v>
      </c>
      <c r="W22" s="530">
        <f>IF(W11=0,0,W21/W11*100)</f>
        <v>0</v>
      </c>
      <c r="X22" s="588">
        <f>IF(X11=0,0,X21/X11*100)</f>
        <v>0</v>
      </c>
      <c r="Y22" s="522"/>
      <c r="Z22" s="530">
        <f>IF(Z11=0,0,Z21/Z11*100)</f>
        <v>0</v>
      </c>
      <c r="AA22" s="530">
        <f>IF(AA11=0,0,AA21/AA11*100)</f>
        <v>0</v>
      </c>
      <c r="AB22" s="530">
        <f>IF(AB11=0,0,AB21/AB11*100)</f>
        <v>0</v>
      </c>
      <c r="AC22" s="555">
        <f>IF(AC11=0,0,AC21/AC11*100)</f>
        <v>0</v>
      </c>
      <c r="AD22" s="522"/>
      <c r="AE22" s="530">
        <f>IF(AE11=0,0,AE21/AE11*100)</f>
        <v>0</v>
      </c>
      <c r="AF22" s="530">
        <f>IF(AF11=0,0,AF21/AF11*100)</f>
        <v>0</v>
      </c>
      <c r="AG22" s="530">
        <f>IF(AG11=0,0,AG21/AG11*100)</f>
        <v>0</v>
      </c>
      <c r="AH22" s="555">
        <f>IF(AH11=0,0,AH21/AH11*100)</f>
        <v>0</v>
      </c>
      <c r="AI22" s="522"/>
      <c r="AJ22" s="530">
        <f>IF(AJ11=0,0,AJ21/AJ11*100)</f>
        <v>0</v>
      </c>
      <c r="AK22" s="530">
        <f>IF(AK11=0,0,AK21/AK11*100)</f>
        <v>0</v>
      </c>
      <c r="AL22" s="530">
        <f>IF(AL11=0,0,AL21/AL11*100)</f>
        <v>0</v>
      </c>
      <c r="AM22" s="555">
        <f>IF(AM11=0,0,AM21/AM11*100)</f>
        <v>0</v>
      </c>
      <c r="AN22" s="605">
        <f t="shared" si="3"/>
        <v>0</v>
      </c>
      <c r="AO22" s="605">
        <f t="shared" si="4"/>
        <v>0</v>
      </c>
      <c r="AP22" s="605">
        <f t="shared" si="4"/>
        <v>0</v>
      </c>
      <c r="AQ22" s="605">
        <f t="shared" si="4"/>
        <v>0</v>
      </c>
      <c r="AR22" s="605">
        <f t="shared" si="4"/>
        <v>0</v>
      </c>
    </row>
    <row r="23" spans="1:44" ht="11.25">
      <c r="A23" s="5" t="s">
        <v>75</v>
      </c>
      <c r="B23" s="39" t="s">
        <v>133</v>
      </c>
      <c r="C23" s="39" t="s">
        <v>77</v>
      </c>
      <c r="D23" s="39" t="s">
        <v>129</v>
      </c>
      <c r="E23" s="520">
        <f>SUM(F23:I23)</f>
        <v>0</v>
      </c>
      <c r="F23" s="531"/>
      <c r="G23" s="531"/>
      <c r="H23" s="531"/>
      <c r="I23" s="531"/>
      <c r="J23" s="520">
        <f>SUM(K23:N23)</f>
        <v>0</v>
      </c>
      <c r="K23" s="531"/>
      <c r="L23" s="531"/>
      <c r="M23" s="531"/>
      <c r="N23" s="531"/>
      <c r="O23" s="520">
        <f>SUM(P23:S23)</f>
        <v>0</v>
      </c>
      <c r="P23" s="531"/>
      <c r="Q23" s="531"/>
      <c r="R23" s="531"/>
      <c r="S23" s="531"/>
      <c r="T23" s="520">
        <f>SUM(U23:X23)</f>
        <v>0</v>
      </c>
      <c r="U23" s="531"/>
      <c r="V23" s="531"/>
      <c r="W23" s="531"/>
      <c r="X23" s="598"/>
      <c r="Y23" s="519">
        <f>SUM(Z23:AC23)</f>
        <v>0</v>
      </c>
      <c r="Z23" s="531"/>
      <c r="AA23" s="531"/>
      <c r="AB23" s="531"/>
      <c r="AC23" s="532"/>
      <c r="AD23" s="519">
        <f>SUM(AE23:AH23)</f>
        <v>0</v>
      </c>
      <c r="AE23" s="531"/>
      <c r="AF23" s="531"/>
      <c r="AG23" s="531"/>
      <c r="AH23" s="532"/>
      <c r="AI23" s="519">
        <f>SUM(AJ23:AM23)</f>
        <v>0</v>
      </c>
      <c r="AJ23" s="531"/>
      <c r="AK23" s="531"/>
      <c r="AL23" s="531"/>
      <c r="AM23" s="532"/>
      <c r="AN23" s="605">
        <f t="shared" si="3"/>
        <v>0</v>
      </c>
      <c r="AO23" s="605">
        <f t="shared" si="4"/>
        <v>0</v>
      </c>
      <c r="AP23" s="605">
        <f t="shared" si="4"/>
        <v>0</v>
      </c>
      <c r="AQ23" s="605">
        <f t="shared" si="4"/>
        <v>0</v>
      </c>
      <c r="AR23" s="605">
        <f t="shared" si="4"/>
        <v>0</v>
      </c>
    </row>
    <row r="24" spans="1:44" ht="11.25">
      <c r="A24" s="63" t="s">
        <v>78</v>
      </c>
      <c r="B24" s="139" t="s">
        <v>134</v>
      </c>
      <c r="C24" s="39" t="s">
        <v>80</v>
      </c>
      <c r="D24" s="39" t="s">
        <v>129</v>
      </c>
      <c r="E24" s="520">
        <f>SUM(F24:I24)</f>
        <v>0</v>
      </c>
      <c r="F24" s="520">
        <f>F11-F21-F23</f>
        <v>0</v>
      </c>
      <c r="G24" s="520">
        <f>G11-G21-G23</f>
        <v>0</v>
      </c>
      <c r="H24" s="520">
        <f>H11-H21-H23</f>
        <v>0</v>
      </c>
      <c r="I24" s="520">
        <f>I11-I21-I23</f>
        <v>0</v>
      </c>
      <c r="J24" s="520">
        <f>SUM(K24:N24)</f>
        <v>0</v>
      </c>
      <c r="K24" s="520">
        <f>K11-K21-K23</f>
        <v>0</v>
      </c>
      <c r="L24" s="520">
        <f>L11-L21-L23</f>
        <v>0</v>
      </c>
      <c r="M24" s="520">
        <f>M11-M21-M23</f>
        <v>0</v>
      </c>
      <c r="N24" s="520">
        <f>N11-N21-N23</f>
        <v>0</v>
      </c>
      <c r="O24" s="520">
        <f>SUM(P24:S24)</f>
        <v>0</v>
      </c>
      <c r="P24" s="520">
        <f>P11-P21-P23</f>
        <v>0</v>
      </c>
      <c r="Q24" s="520">
        <f>Q11-Q21-Q23</f>
        <v>0</v>
      </c>
      <c r="R24" s="520">
        <f>R11-R21-R23</f>
        <v>0</v>
      </c>
      <c r="S24" s="520">
        <f>S11-S21-S23</f>
        <v>0</v>
      </c>
      <c r="T24" s="520">
        <f>SUM(U24:X24)</f>
        <v>0</v>
      </c>
      <c r="U24" s="520">
        <f>U11-U21-U23</f>
        <v>0</v>
      </c>
      <c r="V24" s="520">
        <f>V11-V21-V23</f>
        <v>0</v>
      </c>
      <c r="W24" s="520">
        <f>W11-W21-W23</f>
        <v>0</v>
      </c>
      <c r="X24" s="586">
        <f>X11-X21-X23</f>
        <v>0</v>
      </c>
      <c r="Y24" s="519">
        <f>SUM(Z24:AC24)</f>
        <v>0</v>
      </c>
      <c r="Z24" s="520">
        <f>Z11-Z21-Z23</f>
        <v>0</v>
      </c>
      <c r="AA24" s="520">
        <f>AA11-AA21-AA23</f>
        <v>0</v>
      </c>
      <c r="AB24" s="520">
        <f>AB11-AB21-AB23</f>
        <v>0</v>
      </c>
      <c r="AC24" s="521">
        <f>AC11-AC21-AC23</f>
        <v>0</v>
      </c>
      <c r="AD24" s="519">
        <f>SUM(AE24:AH24)</f>
        <v>0</v>
      </c>
      <c r="AE24" s="520">
        <f>AE11-AE21-AE23</f>
        <v>0</v>
      </c>
      <c r="AF24" s="520">
        <f>AF11-AF21-AF23</f>
        <v>0</v>
      </c>
      <c r="AG24" s="520">
        <f>AG11-AG21-AG23</f>
        <v>0</v>
      </c>
      <c r="AH24" s="521">
        <f>AH11-AH21-AH23</f>
        <v>0</v>
      </c>
      <c r="AI24" s="519">
        <f>SUM(AJ24:AM24)</f>
        <v>0</v>
      </c>
      <c r="AJ24" s="520">
        <f>AJ11-AJ21-AJ23</f>
        <v>0</v>
      </c>
      <c r="AK24" s="520">
        <f>AK11-AK21-AK23</f>
        <v>0</v>
      </c>
      <c r="AL24" s="520">
        <f>AL11-AL21-AL23</f>
        <v>0</v>
      </c>
      <c r="AM24" s="521">
        <f>AM11-AM21-AM23</f>
        <v>0</v>
      </c>
      <c r="AN24" s="605">
        <f t="shared" si="3"/>
        <v>0</v>
      </c>
      <c r="AO24" s="605">
        <f t="shared" si="4"/>
        <v>0</v>
      </c>
      <c r="AP24" s="605">
        <f t="shared" si="4"/>
        <v>0</v>
      </c>
      <c r="AQ24" s="605">
        <f t="shared" si="4"/>
        <v>0</v>
      </c>
      <c r="AR24" s="605">
        <f t="shared" si="4"/>
        <v>0</v>
      </c>
    </row>
    <row r="25" spans="1:44" ht="22.5">
      <c r="A25" s="5" t="s">
        <v>105</v>
      </c>
      <c r="B25" s="39" t="s">
        <v>1245</v>
      </c>
      <c r="C25" s="39" t="s">
        <v>107</v>
      </c>
      <c r="D25" s="39" t="s">
        <v>129</v>
      </c>
      <c r="E25" s="520">
        <f>SUM(F25:I25)</f>
        <v>0</v>
      </c>
      <c r="F25" s="553"/>
      <c r="G25" s="553"/>
      <c r="H25" s="553"/>
      <c r="I25" s="553"/>
      <c r="J25" s="520">
        <f>SUM(K25:N25)</f>
        <v>0</v>
      </c>
      <c r="K25" s="553"/>
      <c r="L25" s="553"/>
      <c r="M25" s="553"/>
      <c r="N25" s="553"/>
      <c r="O25" s="520">
        <f>SUM(P25:S25)</f>
        <v>0</v>
      </c>
      <c r="P25" s="553"/>
      <c r="Q25" s="553"/>
      <c r="R25" s="553"/>
      <c r="S25" s="553"/>
      <c r="T25" s="520">
        <f>SUM(U25:X25)</f>
        <v>0</v>
      </c>
      <c r="U25" s="553"/>
      <c r="V25" s="553"/>
      <c r="W25" s="553"/>
      <c r="X25" s="596"/>
      <c r="Y25" s="519">
        <f>SUM(Z25:AC25)</f>
        <v>0</v>
      </c>
      <c r="Z25" s="528"/>
      <c r="AA25" s="528"/>
      <c r="AB25" s="528"/>
      <c r="AC25" s="529"/>
      <c r="AD25" s="519">
        <f>SUM(AE25:AH25)</f>
        <v>0</v>
      </c>
      <c r="AE25" s="528"/>
      <c r="AF25" s="528"/>
      <c r="AG25" s="528"/>
      <c r="AH25" s="529"/>
      <c r="AI25" s="519">
        <f>SUM(AJ25:AM25)</f>
        <v>0</v>
      </c>
      <c r="AJ25" s="528"/>
      <c r="AK25" s="528"/>
      <c r="AL25" s="528"/>
      <c r="AM25" s="529"/>
      <c r="AN25" s="605">
        <f t="shared" si="3"/>
        <v>0</v>
      </c>
      <c r="AO25" s="605">
        <f t="shared" si="4"/>
        <v>0</v>
      </c>
      <c r="AP25" s="605">
        <f t="shared" si="4"/>
        <v>0</v>
      </c>
      <c r="AQ25" s="605">
        <f t="shared" si="4"/>
        <v>0</v>
      </c>
      <c r="AR25" s="605">
        <f t="shared" si="4"/>
        <v>0</v>
      </c>
    </row>
    <row r="26" spans="1:44" ht="11.25">
      <c r="A26" s="5"/>
      <c r="B26" s="39" t="s">
        <v>108</v>
      </c>
      <c r="C26" s="39"/>
      <c r="D26" s="39" t="s">
        <v>129</v>
      </c>
      <c r="E26" s="524"/>
      <c r="F26" s="524"/>
      <c r="G26" s="524"/>
      <c r="H26" s="524"/>
      <c r="I26" s="524"/>
      <c r="J26" s="524"/>
      <c r="K26" s="524"/>
      <c r="L26" s="524"/>
      <c r="M26" s="524"/>
      <c r="N26" s="524"/>
      <c r="O26" s="524"/>
      <c r="P26" s="524"/>
      <c r="Q26" s="524"/>
      <c r="R26" s="524"/>
      <c r="S26" s="524"/>
      <c r="T26" s="524"/>
      <c r="U26" s="524"/>
      <c r="V26" s="524"/>
      <c r="W26" s="524"/>
      <c r="X26" s="587"/>
      <c r="Y26" s="523"/>
      <c r="Z26" s="524"/>
      <c r="AA26" s="524"/>
      <c r="AB26" s="524"/>
      <c r="AC26" s="525"/>
      <c r="AD26" s="523"/>
      <c r="AE26" s="524"/>
      <c r="AF26" s="524"/>
      <c r="AG26" s="524"/>
      <c r="AH26" s="525"/>
      <c r="AI26" s="523"/>
      <c r="AJ26" s="524"/>
      <c r="AK26" s="524"/>
      <c r="AL26" s="524"/>
      <c r="AM26" s="525"/>
      <c r="AN26" s="605">
        <f t="shared" si="3"/>
        <v>0</v>
      </c>
      <c r="AO26" s="605">
        <f t="shared" si="4"/>
        <v>0</v>
      </c>
      <c r="AP26" s="605">
        <f t="shared" si="4"/>
        <v>0</v>
      </c>
      <c r="AQ26" s="605">
        <f t="shared" si="4"/>
        <v>0</v>
      </c>
      <c r="AR26" s="605">
        <f t="shared" si="4"/>
        <v>0</v>
      </c>
    </row>
    <row r="27" spans="1:44" ht="22.5">
      <c r="A27" s="5"/>
      <c r="B27" s="39" t="s">
        <v>109</v>
      </c>
      <c r="C27" s="39" t="s">
        <v>110</v>
      </c>
      <c r="D27" s="39" t="s">
        <v>129</v>
      </c>
      <c r="E27" s="520">
        <f>SUM(F27:I27)</f>
        <v>0</v>
      </c>
      <c r="F27" s="553"/>
      <c r="G27" s="553"/>
      <c r="H27" s="553"/>
      <c r="I27" s="553"/>
      <c r="J27" s="520">
        <f>SUM(K27:N27)</f>
        <v>0</v>
      </c>
      <c r="K27" s="553"/>
      <c r="L27" s="553"/>
      <c r="M27" s="553"/>
      <c r="N27" s="553"/>
      <c r="O27" s="520">
        <f>SUM(P27:S27)</f>
        <v>0</v>
      </c>
      <c r="P27" s="553"/>
      <c r="Q27" s="553"/>
      <c r="R27" s="553"/>
      <c r="S27" s="553"/>
      <c r="T27" s="520">
        <f>SUM(U27:X27)</f>
        <v>0</v>
      </c>
      <c r="U27" s="553"/>
      <c r="V27" s="553"/>
      <c r="W27" s="553"/>
      <c r="X27" s="596"/>
      <c r="Y27" s="519">
        <f>SUM(Z27:AC27)</f>
        <v>0</v>
      </c>
      <c r="Z27" s="528"/>
      <c r="AA27" s="528"/>
      <c r="AB27" s="528"/>
      <c r="AC27" s="529"/>
      <c r="AD27" s="519">
        <f>SUM(AE27:AH27)</f>
        <v>0</v>
      </c>
      <c r="AE27" s="528"/>
      <c r="AF27" s="528"/>
      <c r="AG27" s="528"/>
      <c r="AH27" s="529"/>
      <c r="AI27" s="519">
        <f>SUM(AJ27:AM27)</f>
        <v>0</v>
      </c>
      <c r="AJ27" s="528"/>
      <c r="AK27" s="528"/>
      <c r="AL27" s="528"/>
      <c r="AM27" s="529"/>
      <c r="AN27" s="605">
        <f t="shared" si="3"/>
        <v>0</v>
      </c>
      <c r="AO27" s="605">
        <f aca="true" t="shared" si="5" ref="AO27:AR31">IF(ISERROR(AJ27/P27),0,AJ27/P27)</f>
        <v>0</v>
      </c>
      <c r="AP27" s="605">
        <f t="shared" si="5"/>
        <v>0</v>
      </c>
      <c r="AQ27" s="605">
        <f t="shared" si="5"/>
        <v>0</v>
      </c>
      <c r="AR27" s="605">
        <f t="shared" si="5"/>
        <v>0</v>
      </c>
    </row>
    <row r="28" spans="1:44" ht="23.25" customHeight="1">
      <c r="A28" s="5"/>
      <c r="B28" s="39" t="s">
        <v>111</v>
      </c>
      <c r="C28" s="39" t="s">
        <v>112</v>
      </c>
      <c r="D28" s="39" t="s">
        <v>129</v>
      </c>
      <c r="E28" s="520">
        <f>SUM(F28:I28)</f>
        <v>0</v>
      </c>
      <c r="F28" s="553"/>
      <c r="G28" s="553"/>
      <c r="H28" s="553"/>
      <c r="I28" s="553"/>
      <c r="J28" s="520">
        <f>SUM(K28:N28)</f>
        <v>0</v>
      </c>
      <c r="K28" s="553"/>
      <c r="L28" s="553"/>
      <c r="M28" s="553"/>
      <c r="N28" s="553"/>
      <c r="O28" s="520">
        <f>SUM(P28:S28)</f>
        <v>0</v>
      </c>
      <c r="P28" s="553"/>
      <c r="Q28" s="553"/>
      <c r="R28" s="553"/>
      <c r="S28" s="553"/>
      <c r="T28" s="520">
        <f>SUM(U28:X28)</f>
        <v>0</v>
      </c>
      <c r="U28" s="553"/>
      <c r="V28" s="553"/>
      <c r="W28" s="553"/>
      <c r="X28" s="596"/>
      <c r="Y28" s="519">
        <f>SUM(Z28:AC28)</f>
        <v>0</v>
      </c>
      <c r="Z28" s="528"/>
      <c r="AA28" s="528"/>
      <c r="AB28" s="528"/>
      <c r="AC28" s="529"/>
      <c r="AD28" s="519">
        <f>SUM(AE28:AH28)</f>
        <v>0</v>
      </c>
      <c r="AE28" s="528"/>
      <c r="AF28" s="528"/>
      <c r="AG28" s="528"/>
      <c r="AH28" s="529"/>
      <c r="AI28" s="519">
        <f>SUM(AJ28:AM28)</f>
        <v>0</v>
      </c>
      <c r="AJ28" s="528"/>
      <c r="AK28" s="528"/>
      <c r="AL28" s="528"/>
      <c r="AM28" s="529"/>
      <c r="AN28" s="605">
        <f t="shared" si="3"/>
        <v>0</v>
      </c>
      <c r="AO28" s="605">
        <f t="shared" si="5"/>
        <v>0</v>
      </c>
      <c r="AP28" s="605">
        <f t="shared" si="5"/>
        <v>0</v>
      </c>
      <c r="AQ28" s="605">
        <f t="shared" si="5"/>
        <v>0</v>
      </c>
      <c r="AR28" s="605">
        <f t="shared" si="5"/>
        <v>0</v>
      </c>
    </row>
    <row r="29" spans="1:44" ht="22.5">
      <c r="A29" s="5" t="s">
        <v>113</v>
      </c>
      <c r="B29" s="39" t="s">
        <v>135</v>
      </c>
      <c r="C29" s="39" t="s">
        <v>115</v>
      </c>
      <c r="D29" s="39" t="s">
        <v>129</v>
      </c>
      <c r="E29" s="520">
        <f>SUM(F29:I29)</f>
        <v>0</v>
      </c>
      <c r="F29" s="553"/>
      <c r="G29" s="553"/>
      <c r="H29" s="553"/>
      <c r="I29" s="553"/>
      <c r="J29" s="520">
        <f>SUM(K29:N29)</f>
        <v>0</v>
      </c>
      <c r="K29" s="553"/>
      <c r="L29" s="553"/>
      <c r="M29" s="553"/>
      <c r="N29" s="553"/>
      <c r="O29" s="520">
        <f>SUM(P29:S29)</f>
        <v>0</v>
      </c>
      <c r="P29" s="553"/>
      <c r="Q29" s="553"/>
      <c r="R29" s="553"/>
      <c r="S29" s="553"/>
      <c r="T29" s="520">
        <f>SUM(U29:X29)</f>
        <v>0</v>
      </c>
      <c r="U29" s="553"/>
      <c r="V29" s="553"/>
      <c r="W29" s="553"/>
      <c r="X29" s="596"/>
      <c r="Y29" s="519">
        <f>SUM(Z29:AC29)</f>
        <v>0</v>
      </c>
      <c r="Z29" s="528"/>
      <c r="AA29" s="528"/>
      <c r="AB29" s="528"/>
      <c r="AC29" s="529"/>
      <c r="AD29" s="519">
        <f>SUM(AE29:AH29)</f>
        <v>0</v>
      </c>
      <c r="AE29" s="528"/>
      <c r="AF29" s="528"/>
      <c r="AG29" s="528"/>
      <c r="AH29" s="529"/>
      <c r="AI29" s="519">
        <f>SUM(AJ29:AM29)</f>
        <v>0</v>
      </c>
      <c r="AJ29" s="528"/>
      <c r="AK29" s="528"/>
      <c r="AL29" s="528"/>
      <c r="AM29" s="529"/>
      <c r="AN29" s="605">
        <f t="shared" si="3"/>
        <v>0</v>
      </c>
      <c r="AO29" s="605">
        <f t="shared" si="5"/>
        <v>0</v>
      </c>
      <c r="AP29" s="605">
        <f t="shared" si="5"/>
        <v>0</v>
      </c>
      <c r="AQ29" s="605">
        <f t="shared" si="5"/>
        <v>0</v>
      </c>
      <c r="AR29" s="605">
        <f t="shared" si="5"/>
        <v>0</v>
      </c>
    </row>
    <row r="30" spans="1:44" ht="11.25">
      <c r="A30" s="5" t="s">
        <v>116</v>
      </c>
      <c r="B30" s="39" t="s">
        <v>136</v>
      </c>
      <c r="C30" s="39" t="s">
        <v>118</v>
      </c>
      <c r="D30" s="39" t="s">
        <v>129</v>
      </c>
      <c r="E30" s="520">
        <f>SUM(F30:I30)</f>
        <v>0</v>
      </c>
      <c r="F30" s="553"/>
      <c r="G30" s="553"/>
      <c r="H30" s="553"/>
      <c r="I30" s="553"/>
      <c r="J30" s="520">
        <f>SUM(K30:N30)</f>
        <v>0</v>
      </c>
      <c r="K30" s="553"/>
      <c r="L30" s="553"/>
      <c r="M30" s="553"/>
      <c r="N30" s="553"/>
      <c r="O30" s="520">
        <f>SUM(P30:S30)</f>
        <v>0</v>
      </c>
      <c r="P30" s="553"/>
      <c r="Q30" s="553"/>
      <c r="R30" s="553"/>
      <c r="S30" s="553"/>
      <c r="T30" s="520">
        <f>SUM(U30:X30)</f>
        <v>0</v>
      </c>
      <c r="U30" s="553"/>
      <c r="V30" s="553"/>
      <c r="W30" s="553"/>
      <c r="X30" s="596"/>
      <c r="Y30" s="519">
        <f>SUM(Z30:AC30)</f>
        <v>0</v>
      </c>
      <c r="Z30" s="528"/>
      <c r="AA30" s="528"/>
      <c r="AB30" s="528"/>
      <c r="AC30" s="529"/>
      <c r="AD30" s="519">
        <f>SUM(AE30:AH30)</f>
        <v>0</v>
      </c>
      <c r="AE30" s="528"/>
      <c r="AF30" s="528"/>
      <c r="AG30" s="528"/>
      <c r="AH30" s="529"/>
      <c r="AI30" s="519">
        <f>SUM(AJ30:AM30)</f>
        <v>0</v>
      </c>
      <c r="AJ30" s="528"/>
      <c r="AK30" s="528"/>
      <c r="AL30" s="528"/>
      <c r="AM30" s="529"/>
      <c r="AN30" s="605">
        <f t="shared" si="3"/>
        <v>0</v>
      </c>
      <c r="AO30" s="605">
        <f t="shared" si="5"/>
        <v>0</v>
      </c>
      <c r="AP30" s="605">
        <f t="shared" si="5"/>
        <v>0</v>
      </c>
      <c r="AQ30" s="605">
        <f t="shared" si="5"/>
        <v>0</v>
      </c>
      <c r="AR30" s="605">
        <f t="shared" si="5"/>
        <v>0</v>
      </c>
    </row>
    <row r="31" spans="1:44" ht="12" thickBot="1">
      <c r="A31" s="5" t="s">
        <v>119</v>
      </c>
      <c r="B31" s="39" t="s">
        <v>120</v>
      </c>
      <c r="C31" s="39" t="s">
        <v>121</v>
      </c>
      <c r="D31" s="39" t="s">
        <v>129</v>
      </c>
      <c r="E31" s="520">
        <f>SUM(F31:I31)</f>
        <v>0</v>
      </c>
      <c r="F31" s="553"/>
      <c r="G31" s="553"/>
      <c r="H31" s="553"/>
      <c r="I31" s="553"/>
      <c r="J31" s="520">
        <f>SUM(K31:N31)</f>
        <v>0</v>
      </c>
      <c r="K31" s="553"/>
      <c r="L31" s="553"/>
      <c r="M31" s="553"/>
      <c r="N31" s="553"/>
      <c r="O31" s="520">
        <f>SUM(P31:S31)</f>
        <v>0</v>
      </c>
      <c r="P31" s="553"/>
      <c r="Q31" s="553"/>
      <c r="R31" s="553"/>
      <c r="S31" s="553"/>
      <c r="T31" s="520">
        <f>SUM(U31:X31)</f>
        <v>0</v>
      </c>
      <c r="U31" s="553"/>
      <c r="V31" s="553"/>
      <c r="W31" s="553"/>
      <c r="X31" s="596"/>
      <c r="Y31" s="519">
        <f>SUM(Z31:AC31)</f>
        <v>0</v>
      </c>
      <c r="Z31" s="534"/>
      <c r="AA31" s="534"/>
      <c r="AB31" s="534"/>
      <c r="AC31" s="535"/>
      <c r="AD31" s="519">
        <f>SUM(AE31:AH31)</f>
        <v>0</v>
      </c>
      <c r="AE31" s="534"/>
      <c r="AF31" s="534"/>
      <c r="AG31" s="534"/>
      <c r="AH31" s="535"/>
      <c r="AI31" s="519">
        <f>SUM(AJ31:AM31)</f>
        <v>0</v>
      </c>
      <c r="AJ31" s="534"/>
      <c r="AK31" s="534"/>
      <c r="AL31" s="534"/>
      <c r="AM31" s="535"/>
      <c r="AN31" s="605">
        <f t="shared" si="3"/>
        <v>0</v>
      </c>
      <c r="AO31" s="605">
        <f t="shared" si="5"/>
        <v>0</v>
      </c>
      <c r="AP31" s="605">
        <f t="shared" si="5"/>
        <v>0</v>
      </c>
      <c r="AQ31" s="605">
        <f t="shared" si="5"/>
        <v>0</v>
      </c>
      <c r="AR31" s="605">
        <f t="shared" si="5"/>
        <v>0</v>
      </c>
    </row>
    <row r="32" spans="1:44" ht="12" thickBot="1">
      <c r="A32" s="173" t="s">
        <v>122</v>
      </c>
      <c r="B32" s="151" t="s">
        <v>123</v>
      </c>
      <c r="C32" s="151" t="s">
        <v>124</v>
      </c>
      <c r="D32" s="151" t="s">
        <v>129</v>
      </c>
      <c r="E32" s="543"/>
      <c r="F32" s="543">
        <f>F24-F25-F29-F30-F31-G15-H15-I15</f>
        <v>0</v>
      </c>
      <c r="G32" s="543">
        <f>G24-G25-G29-G30-G31-H16-I16</f>
        <v>0</v>
      </c>
      <c r="H32" s="543">
        <f>H24-H25-H29-H30-H31-I17</f>
        <v>0</v>
      </c>
      <c r="I32" s="543">
        <f>I24-I25-I29-I30-I31</f>
        <v>0</v>
      </c>
      <c r="J32" s="543"/>
      <c r="K32" s="543">
        <f>K24-K25-K29-K30-K31-L15-M15-N15</f>
        <v>0</v>
      </c>
      <c r="L32" s="543">
        <f>L24-L25-L29-L30-L31-M16-N16</f>
        <v>0</v>
      </c>
      <c r="M32" s="543">
        <f>M24-M25-M29-M30-M31-N17</f>
        <v>0</v>
      </c>
      <c r="N32" s="543">
        <f>N24-N25-N29-N30-N31</f>
        <v>0</v>
      </c>
      <c r="O32" s="543"/>
      <c r="P32" s="543">
        <f>P24-P25-P29-P30-P31-Q15-R15-S15</f>
        <v>0</v>
      </c>
      <c r="Q32" s="543">
        <f>Q24-Q25-Q29-Q30-Q31-R16-S16</f>
        <v>0</v>
      </c>
      <c r="R32" s="543">
        <f>R24-R25-R29-R30-R31-S17</f>
        <v>0</v>
      </c>
      <c r="S32" s="543">
        <f>S24-S25-S29-S30-S31</f>
        <v>0</v>
      </c>
      <c r="T32" s="543"/>
      <c r="U32" s="543">
        <f>U24-U25-U29-U30-U31-V15-W15-X15</f>
        <v>0</v>
      </c>
      <c r="V32" s="543">
        <f>V24-V25-V29-V30-V31-W16-X16</f>
        <v>0</v>
      </c>
      <c r="W32" s="543">
        <f>W24-W25-W29-W30-W31-X17</f>
        <v>0</v>
      </c>
      <c r="X32" s="599">
        <f>X24-X25-X29-X30-X31</f>
        <v>0</v>
      </c>
      <c r="Y32" s="603"/>
      <c r="Z32" s="543">
        <f>Z24-Z25-Z29-Z30-Z31-AA15-AB15-AC15</f>
        <v>0</v>
      </c>
      <c r="AA32" s="543">
        <f>AA24-AA25-AA29-AA30-AA31-AB16-AC16</f>
        <v>0</v>
      </c>
      <c r="AB32" s="543">
        <f>AB24-AB25-AB29-AB30-AB31-AC17</f>
        <v>0</v>
      </c>
      <c r="AC32" s="604">
        <f>AC24-AC25-AC29-AC30-AC31</f>
        <v>0</v>
      </c>
      <c r="AD32" s="603"/>
      <c r="AE32" s="543">
        <f>AE24-AE25-AE29-AE30-AE31-AF15-AG15-AH15</f>
        <v>0</v>
      </c>
      <c r="AF32" s="543">
        <f>AF24-AF25-AF29-AF30-AF31-AG16-AH16</f>
        <v>0</v>
      </c>
      <c r="AG32" s="543">
        <f>AG24-AG25-AG29-AG30-AG31-AH17</f>
        <v>0</v>
      </c>
      <c r="AH32" s="604">
        <f>AH24-AH25-AH29-AH30-AH31</f>
        <v>0</v>
      </c>
      <c r="AI32" s="603"/>
      <c r="AJ32" s="543">
        <f>AJ24-AJ25-AJ29-AJ30-AJ31-AK15-AL15-AM15</f>
        <v>0</v>
      </c>
      <c r="AK32" s="543">
        <f>AK24-AK25-AK29-AK30-AK31-AL16-AM16</f>
        <v>0</v>
      </c>
      <c r="AL32" s="543">
        <f>AL24-AL25-AL29-AL30-AL31-AM17</f>
        <v>0</v>
      </c>
      <c r="AM32" s="604">
        <f>AM24-AM25-AM29-AM30-AM31</f>
        <v>0</v>
      </c>
      <c r="AN32" s="606"/>
      <c r="AO32" s="329"/>
      <c r="AP32" s="329"/>
      <c r="AQ32" s="329"/>
      <c r="AR32" s="330"/>
    </row>
    <row r="34" spans="2:4" s="14" customFormat="1" ht="11.25">
      <c r="B34" s="61"/>
      <c r="C34" s="61"/>
      <c r="D34" s="61"/>
    </row>
    <row r="35" spans="2:31" s="14" customFormat="1" ht="15">
      <c r="B35" s="61"/>
      <c r="C35" s="61"/>
      <c r="D35" s="61"/>
      <c r="E35" s="576" t="s">
        <v>1291</v>
      </c>
      <c r="F35" s="608"/>
      <c r="G35" s="608"/>
      <c r="H35" s="607"/>
      <c r="I35" s="607"/>
      <c r="J35" s="607"/>
      <c r="K35" s="576" t="s">
        <v>1289</v>
      </c>
      <c r="Y35" s="576" t="s">
        <v>1291</v>
      </c>
      <c r="Z35" s="608"/>
      <c r="AA35" s="608"/>
      <c r="AB35" s="607"/>
      <c r="AC35" s="607"/>
      <c r="AD35" s="607"/>
      <c r="AE35" s="576" t="s">
        <v>1289</v>
      </c>
    </row>
    <row r="36" spans="2:31" s="14" customFormat="1" ht="15">
      <c r="B36" s="61"/>
      <c r="C36" s="61"/>
      <c r="D36" s="61"/>
      <c r="E36" s="576"/>
      <c r="F36" s="576"/>
      <c r="G36" s="576"/>
      <c r="H36" s="576"/>
      <c r="I36" s="576" t="s">
        <v>1288</v>
      </c>
      <c r="J36" s="576"/>
      <c r="K36" s="576"/>
      <c r="Y36" s="576"/>
      <c r="Z36" s="576"/>
      <c r="AA36" s="576"/>
      <c r="AB36" s="576"/>
      <c r="AC36" s="576" t="s">
        <v>1288</v>
      </c>
      <c r="AD36" s="576"/>
      <c r="AE36" s="576"/>
    </row>
    <row r="37" spans="2:31" s="14" customFormat="1" ht="15">
      <c r="B37" s="61"/>
      <c r="C37" s="61"/>
      <c r="D37" s="61"/>
      <c r="E37" s="576" t="s">
        <v>1290</v>
      </c>
      <c r="F37" s="576"/>
      <c r="G37" s="576"/>
      <c r="H37" s="576"/>
      <c r="I37" s="576"/>
      <c r="J37" s="576"/>
      <c r="K37" s="576"/>
      <c r="Y37" s="576" t="s">
        <v>1290</v>
      </c>
      <c r="Z37" s="576"/>
      <c r="AA37" s="576"/>
      <c r="AB37" s="576"/>
      <c r="AC37" s="576"/>
      <c r="AD37" s="576"/>
      <c r="AE37" s="576"/>
    </row>
    <row r="38" spans="2:4" s="14" customFormat="1" ht="11.25">
      <c r="B38" s="61"/>
      <c r="C38" s="61"/>
      <c r="D38" s="61"/>
    </row>
    <row r="39" spans="2:4" s="14" customFormat="1" ht="11.25">
      <c r="B39" s="61"/>
      <c r="C39" s="61"/>
      <c r="D39" s="61"/>
    </row>
    <row r="40" spans="2:4" s="14" customFormat="1" ht="11.25">
      <c r="B40" s="61"/>
      <c r="C40" s="61"/>
      <c r="D40" s="61"/>
    </row>
    <row r="41" spans="2:4" s="14" customFormat="1" ht="11.25">
      <c r="B41" s="61"/>
      <c r="C41" s="61"/>
      <c r="D41" s="61"/>
    </row>
    <row r="42" spans="2:4" s="14" customFormat="1" ht="11.25">
      <c r="B42" s="61"/>
      <c r="C42" s="61"/>
      <c r="D42" s="61"/>
    </row>
    <row r="43" spans="2:4" s="14" customFormat="1" ht="11.25">
      <c r="B43" s="61"/>
      <c r="C43" s="61"/>
      <c r="D43" s="61"/>
    </row>
    <row r="44" spans="2:4" s="14" customFormat="1" ht="11.25">
      <c r="B44" s="61"/>
      <c r="C44" s="61"/>
      <c r="D44" s="61"/>
    </row>
    <row r="45" spans="2:4" s="14" customFormat="1" ht="11.25">
      <c r="B45" s="61"/>
      <c r="C45" s="61"/>
      <c r="D45" s="61"/>
    </row>
    <row r="46" spans="2:4" s="14" customFormat="1" ht="11.25">
      <c r="B46" s="61"/>
      <c r="C46" s="61"/>
      <c r="D46" s="61"/>
    </row>
    <row r="47" spans="2:4" s="14" customFormat="1" ht="11.25">
      <c r="B47" s="61"/>
      <c r="C47" s="61"/>
      <c r="D47" s="61"/>
    </row>
    <row r="48" spans="2:4" s="14" customFormat="1" ht="11.25">
      <c r="B48" s="61"/>
      <c r="C48" s="61"/>
      <c r="D48" s="61"/>
    </row>
    <row r="49" spans="2:4" s="14" customFormat="1" ht="11.25">
      <c r="B49" s="61"/>
      <c r="C49" s="61"/>
      <c r="D49" s="61"/>
    </row>
    <row r="50" spans="2:4" s="14" customFormat="1" ht="11.25">
      <c r="B50" s="61"/>
      <c r="C50" s="61"/>
      <c r="D50" s="61"/>
    </row>
    <row r="51" spans="2:4" s="14" customFormat="1" ht="11.25">
      <c r="B51" s="61"/>
      <c r="C51" s="61"/>
      <c r="D51" s="61"/>
    </row>
    <row r="52" spans="2:4" s="14" customFormat="1" ht="11.25">
      <c r="B52" s="61"/>
      <c r="C52" s="61"/>
      <c r="D52" s="61"/>
    </row>
    <row r="53" spans="2:4" s="14" customFormat="1" ht="11.25">
      <c r="B53" s="61"/>
      <c r="C53" s="61"/>
      <c r="D53" s="61"/>
    </row>
    <row r="54" spans="2:4" s="14" customFormat="1" ht="11.25">
      <c r="B54" s="61"/>
      <c r="C54" s="61"/>
      <c r="D54" s="61"/>
    </row>
    <row r="55" spans="2:4" s="14" customFormat="1" ht="11.25">
      <c r="B55" s="61"/>
      <c r="C55" s="61"/>
      <c r="D55" s="61"/>
    </row>
    <row r="56" spans="2:4" s="14" customFormat="1" ht="11.25">
      <c r="B56" s="61"/>
      <c r="C56" s="61"/>
      <c r="D56" s="61"/>
    </row>
    <row r="57" spans="2:4" s="14" customFormat="1" ht="11.25">
      <c r="B57" s="61"/>
      <c r="C57" s="61"/>
      <c r="D57" s="61"/>
    </row>
    <row r="58" spans="2:4" s="14" customFormat="1" ht="11.25">
      <c r="B58" s="61"/>
      <c r="C58" s="61"/>
      <c r="D58" s="61"/>
    </row>
    <row r="59" spans="2:4" s="14" customFormat="1" ht="11.25">
      <c r="B59" s="61"/>
      <c r="C59" s="61"/>
      <c r="D59" s="61"/>
    </row>
    <row r="60" spans="2:4" s="14" customFormat="1" ht="11.25">
      <c r="B60" s="61"/>
      <c r="C60" s="61"/>
      <c r="D60" s="61"/>
    </row>
    <row r="61" spans="2:4" s="14" customFormat="1" ht="11.25">
      <c r="B61" s="61"/>
      <c r="C61" s="61"/>
      <c r="D61" s="61"/>
    </row>
    <row r="62" spans="2:4" s="14" customFormat="1" ht="11.25">
      <c r="B62" s="61"/>
      <c r="C62" s="61"/>
      <c r="D62" s="61"/>
    </row>
    <row r="63" spans="2:4" s="14" customFormat="1" ht="11.25">
      <c r="B63" s="61"/>
      <c r="C63" s="61"/>
      <c r="D63" s="61"/>
    </row>
    <row r="64" spans="2:4" s="14" customFormat="1" ht="11.25">
      <c r="B64" s="61"/>
      <c r="C64" s="61"/>
      <c r="D64" s="61"/>
    </row>
    <row r="65" spans="2:4" s="14" customFormat="1" ht="11.25">
      <c r="B65" s="61"/>
      <c r="C65" s="61"/>
      <c r="D65" s="61"/>
    </row>
    <row r="66" spans="2:4" s="14" customFormat="1" ht="11.25">
      <c r="B66" s="61"/>
      <c r="C66" s="61"/>
      <c r="D66" s="61"/>
    </row>
    <row r="67" spans="2:4" s="14" customFormat="1" ht="11.25">
      <c r="B67" s="61"/>
      <c r="C67" s="61"/>
      <c r="D67" s="61"/>
    </row>
    <row r="68" spans="2:4" s="14" customFormat="1" ht="11.25">
      <c r="B68" s="61"/>
      <c r="C68" s="61"/>
      <c r="D68" s="61"/>
    </row>
    <row r="69" spans="2:4" s="14" customFormat="1" ht="11.25">
      <c r="B69" s="61"/>
      <c r="C69" s="61"/>
      <c r="D69" s="61"/>
    </row>
    <row r="70" spans="2:4" s="14" customFormat="1" ht="11.25">
      <c r="B70" s="61"/>
      <c r="C70" s="61"/>
      <c r="D70" s="61"/>
    </row>
    <row r="71" spans="2:4" s="14" customFormat="1" ht="11.25">
      <c r="B71" s="61"/>
      <c r="C71" s="61"/>
      <c r="D71" s="61"/>
    </row>
    <row r="72" spans="2:4" s="14" customFormat="1" ht="11.25">
      <c r="B72" s="61"/>
      <c r="C72" s="61"/>
      <c r="D72" s="61"/>
    </row>
    <row r="73" spans="2:4" s="14" customFormat="1" ht="11.25">
      <c r="B73" s="61"/>
      <c r="C73" s="61"/>
      <c r="D73" s="61"/>
    </row>
    <row r="74" spans="2:4" s="14" customFormat="1" ht="11.25">
      <c r="B74" s="61"/>
      <c r="C74" s="61"/>
      <c r="D74" s="61"/>
    </row>
    <row r="75" spans="2:4" s="14" customFormat="1" ht="11.25">
      <c r="B75" s="61"/>
      <c r="C75" s="61"/>
      <c r="D75" s="61"/>
    </row>
    <row r="76" spans="2:4" s="14" customFormat="1" ht="11.25">
      <c r="B76" s="61"/>
      <c r="C76" s="61"/>
      <c r="D76" s="61"/>
    </row>
    <row r="77" spans="2:4" s="14" customFormat="1" ht="11.25">
      <c r="B77" s="61"/>
      <c r="C77" s="61"/>
      <c r="D77" s="61"/>
    </row>
    <row r="78" spans="2:4" s="14" customFormat="1" ht="11.25">
      <c r="B78" s="61"/>
      <c r="C78" s="61"/>
      <c r="D78" s="61"/>
    </row>
    <row r="79" spans="2:4" s="14" customFormat="1" ht="11.25">
      <c r="B79" s="61"/>
      <c r="C79" s="61"/>
      <c r="D79" s="61"/>
    </row>
    <row r="80" spans="2:4" s="14" customFormat="1" ht="11.25">
      <c r="B80" s="61"/>
      <c r="C80" s="61"/>
      <c r="D80" s="61"/>
    </row>
    <row r="81" spans="2:4" s="14" customFormat="1" ht="11.25">
      <c r="B81" s="61"/>
      <c r="C81" s="61"/>
      <c r="D81" s="61"/>
    </row>
    <row r="82" spans="2:4" s="14" customFormat="1" ht="11.25">
      <c r="B82" s="61"/>
      <c r="C82" s="61"/>
      <c r="D82" s="61"/>
    </row>
    <row r="83" spans="2:4" s="14" customFormat="1" ht="11.25">
      <c r="B83" s="61"/>
      <c r="C83" s="61"/>
      <c r="D83" s="61"/>
    </row>
    <row r="84" spans="2:4" s="14" customFormat="1" ht="11.25">
      <c r="B84" s="61"/>
      <c r="C84" s="61"/>
      <c r="D84" s="61"/>
    </row>
    <row r="85" spans="2:4" s="14" customFormat="1" ht="11.25">
      <c r="B85" s="61"/>
      <c r="C85" s="61"/>
      <c r="D85" s="61"/>
    </row>
    <row r="86" spans="2:4" s="14" customFormat="1" ht="11.25">
      <c r="B86" s="61"/>
      <c r="C86" s="61"/>
      <c r="D86" s="61"/>
    </row>
    <row r="87" spans="2:4" s="14" customFormat="1" ht="11.25">
      <c r="B87" s="61"/>
      <c r="C87" s="61"/>
      <c r="D87" s="61"/>
    </row>
    <row r="88" spans="2:4" s="14" customFormat="1" ht="11.25">
      <c r="B88" s="61"/>
      <c r="C88" s="61"/>
      <c r="D88" s="61"/>
    </row>
    <row r="89" spans="2:4" s="14" customFormat="1" ht="11.25">
      <c r="B89" s="61"/>
      <c r="C89" s="61"/>
      <c r="D89" s="61"/>
    </row>
    <row r="90" spans="2:4" s="14" customFormat="1" ht="11.25">
      <c r="B90" s="61"/>
      <c r="C90" s="61"/>
      <c r="D90" s="61"/>
    </row>
    <row r="91" spans="2:4" s="14" customFormat="1" ht="11.25">
      <c r="B91" s="61"/>
      <c r="C91" s="61"/>
      <c r="D91" s="61"/>
    </row>
    <row r="92" spans="2:4" s="14" customFormat="1" ht="11.25">
      <c r="B92" s="61"/>
      <c r="C92" s="61"/>
      <c r="D92" s="61"/>
    </row>
    <row r="93" spans="2:4" s="14" customFormat="1" ht="11.25">
      <c r="B93" s="61"/>
      <c r="C93" s="61"/>
      <c r="D93" s="61"/>
    </row>
    <row r="94" spans="2:4" s="14" customFormat="1" ht="11.25">
      <c r="B94" s="61"/>
      <c r="C94" s="61"/>
      <c r="D94" s="61"/>
    </row>
    <row r="95" spans="2:4" s="14" customFormat="1" ht="11.25">
      <c r="B95" s="61"/>
      <c r="C95" s="61"/>
      <c r="D95" s="61"/>
    </row>
    <row r="96" spans="2:4" s="14" customFormat="1" ht="11.25">
      <c r="B96" s="61"/>
      <c r="C96" s="61"/>
      <c r="D96" s="61"/>
    </row>
  </sheetData>
  <sheetProtection formatColumns="0" formatRows="0"/>
  <protectedRanges>
    <protectedRange sqref="Z14:AC21 AE14:AH21 AJ14:AM21" name="Диапазон1"/>
    <protectedRange sqref="Z27:AC31 Z25:AC25 AE27:AH31 AE25:AH25 AJ27:AM31 AJ25:AM25" name="Диапазон1_1"/>
  </protectedRanges>
  <mergeCells count="13">
    <mergeCell ref="AN4:AR4"/>
    <mergeCell ref="A4:A6"/>
    <mergeCell ref="B4:B6"/>
    <mergeCell ref="D4:D6"/>
    <mergeCell ref="E4:I4"/>
    <mergeCell ref="J4:N4"/>
    <mergeCell ref="O4:S4"/>
    <mergeCell ref="T4:X4"/>
    <mergeCell ref="Y4:AC4"/>
    <mergeCell ref="AD4:AH4"/>
    <mergeCell ref="AI4:AM4"/>
    <mergeCell ref="E2:R2"/>
    <mergeCell ref="Y2:AL2"/>
  </mergeCells>
  <dataValidations count="1">
    <dataValidation type="decimal" allowBlank="1" showInputMessage="1" showErrorMessage="1" error="Ввведеное значение неверно" sqref="Z25:AC25 U27:X31 P27:S31 K27:N31 F27:I31 Z23:AC23 U25:X25 P25:S25 K25:N25 F25:I25 Z14:AC21 U23:X23 P23:S23 K23:N23 F23:I23 F14:I21 U14:X21 P14:S21 K14:N21 Z27:AC31 AE23:AH23 AE14:AH21 AE27:AH31 AE25:AH25 AJ23:AM23 AJ14:AM21 AJ27:AM31 AJ25:AM25">
      <formula1>-1000000000000000</formula1>
      <formula2>1000000000000000</formula2>
    </dataValidation>
  </dataValidations>
  <printOptions/>
  <pageMargins left="0.6299212598425197" right="0.11811023622047245" top="0.6692913385826772" bottom="0.4330708661417323" header="0.5118110236220472" footer="0.2755905511811024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Федеральная служба по тарифам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Расчет тарифов на услуги по передаче электрической энергии</dc:title>
  <dc:subject>Расчет тарифов на услуги по передаче электрической энергии</dc:subject>
  <dc:creator>--</dc:creator>
  <cp:keywords/>
  <dc:description/>
  <cp:lastModifiedBy>SGSTfdsSEFDS123445</cp:lastModifiedBy>
  <cp:lastPrinted>2014-04-19T08:34:12Z</cp:lastPrinted>
  <dcterms:created xsi:type="dcterms:W3CDTF">2004-05-21T07:18:45Z</dcterms:created>
  <dcterms:modified xsi:type="dcterms:W3CDTF">2014-04-19T08:50:38Z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TSET.NET.2009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>123456</vt:lpwstr>
  </property>
  <property fmtid="{D5CDD505-2E9C-101B-9397-08002B2CF9AE}" pid="427" name="keywords">
    <vt:lpwstr/>
  </property>
  <property fmtid="{D5CDD505-2E9C-101B-9397-08002B2CF9AE}" pid="428" name="Status">
    <vt:lpwstr>1</vt:lpwstr>
  </property>
  <property fmtid="{D5CDD505-2E9C-101B-9397-08002B2CF9AE}" pid="429" name="Period">
    <vt:lpwstr>2008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</Properties>
</file>