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9440" windowHeight="7440"/>
  </bookViews>
  <sheets>
    <sheet name="Расходы ДПР" sheetId="1" r:id="rId1"/>
  </sheets>
  <calcPr calcId="145621"/>
</workbook>
</file>

<file path=xl/calcChain.xml><?xml version="1.0" encoding="utf-8"?>
<calcChain xmlns="http://schemas.openxmlformats.org/spreadsheetml/2006/main">
  <c r="Z55" i="1" l="1"/>
  <c r="Z13" i="1" l="1"/>
  <c r="Z56" i="1"/>
  <c r="Z36" i="1"/>
  <c r="Z25" i="1"/>
  <c r="Z37" i="1"/>
  <c r="Z24" i="1"/>
  <c r="Z18" i="1"/>
  <c r="Z34" i="1"/>
  <c r="Z33" i="1"/>
  <c r="Z31" i="1"/>
  <c r="Z30" i="1"/>
  <c r="Z32" i="1"/>
  <c r="Z27" i="1"/>
  <c r="Z28" i="1"/>
  <c r="Z14" i="1"/>
  <c r="Z16" i="1"/>
  <c r="Z21" i="1"/>
  <c r="Z15" i="1"/>
  <c r="Z19" i="1"/>
  <c r="Z35" i="1"/>
  <c r="Z52" i="1"/>
  <c r="Z23" i="1"/>
  <c r="Z12" i="1"/>
  <c r="Y11" i="1" l="1"/>
  <c r="Y53" i="1" l="1"/>
  <c r="Y49" i="1"/>
  <c r="AA63" i="1" l="1"/>
  <c r="AA61" i="1"/>
  <c r="AA60" i="1"/>
  <c r="AA59" i="1"/>
  <c r="AA58" i="1"/>
  <c r="AA57" i="1"/>
  <c r="AA56" i="1"/>
  <c r="AA55" i="1"/>
  <c r="AA54" i="1"/>
  <c r="Z53" i="1"/>
  <c r="AA53" i="1" s="1"/>
  <c r="AA52" i="1"/>
  <c r="AA51" i="1"/>
  <c r="AA50" i="1"/>
  <c r="Z49" i="1"/>
  <c r="AA49" i="1" s="1"/>
  <c r="AA48" i="1"/>
  <c r="AA47" i="1"/>
  <c r="Z46" i="1"/>
  <c r="Y46" i="1"/>
  <c r="Z45" i="1"/>
  <c r="Y45" i="1"/>
  <c r="AA45" i="1" s="1"/>
  <c r="AA44" i="1"/>
  <c r="AA43" i="1"/>
  <c r="AA42" i="1"/>
  <c r="AA40" i="1"/>
  <c r="AA39" i="1"/>
  <c r="AA38" i="1"/>
  <c r="Y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Z22" i="1"/>
  <c r="AA22" i="1" s="1"/>
  <c r="Y20" i="1"/>
  <c r="AA19" i="1"/>
  <c r="Y18" i="1"/>
  <c r="AA17" i="1"/>
  <c r="AA16" i="1"/>
  <c r="AA15" i="1"/>
  <c r="AA14" i="1"/>
  <c r="AA13" i="1"/>
  <c r="AA12" i="1"/>
  <c r="Z11" i="1"/>
  <c r="Z10" i="1" s="1"/>
  <c r="Y10" i="1"/>
  <c r="Z41" i="1" l="1"/>
  <c r="Z64" i="1" s="1"/>
  <c r="AA18" i="1"/>
  <c r="Z20" i="1"/>
  <c r="Z9" i="1" s="1"/>
  <c r="AA11" i="1"/>
  <c r="AA10" i="1"/>
  <c r="AA46" i="1"/>
  <c r="Y9" i="1"/>
  <c r="Y41" i="1"/>
  <c r="AA21" i="1"/>
  <c r="AA37" i="1"/>
  <c r="T37" i="1"/>
  <c r="U37" i="1"/>
  <c r="U36" i="1"/>
  <c r="U35" i="1"/>
  <c r="V35" i="1" s="1"/>
  <c r="J37" i="1"/>
  <c r="K37" i="1"/>
  <c r="K36" i="1"/>
  <c r="L36" i="1" s="1"/>
  <c r="K35" i="1"/>
  <c r="O37" i="1"/>
  <c r="P37" i="1"/>
  <c r="P36" i="1"/>
  <c r="P35" i="1"/>
  <c r="Q35" i="1" s="1"/>
  <c r="V36" i="1"/>
  <c r="Q36" i="1"/>
  <c r="L35" i="1"/>
  <c r="G35" i="1"/>
  <c r="G36" i="1"/>
  <c r="O16" i="1"/>
  <c r="P18" i="1"/>
  <c r="J16" i="1"/>
  <c r="K16" i="1"/>
  <c r="E16" i="1"/>
  <c r="G16" i="1" s="1"/>
  <c r="F18" i="1"/>
  <c r="T18" i="1"/>
  <c r="U18" i="1"/>
  <c r="U21" i="1"/>
  <c r="V15" i="1"/>
  <c r="V16" i="1"/>
  <c r="V17" i="1"/>
  <c r="Q15" i="1"/>
  <c r="Q16" i="1"/>
  <c r="Q17" i="1"/>
  <c r="L15" i="1"/>
  <c r="L16" i="1"/>
  <c r="L17" i="1"/>
  <c r="G15" i="1"/>
  <c r="G17" i="1"/>
  <c r="G18" i="1"/>
  <c r="U11" i="1"/>
  <c r="U33" i="1"/>
  <c r="U32" i="1"/>
  <c r="U31" i="1"/>
  <c r="U25" i="1"/>
  <c r="U56" i="1"/>
  <c r="U53" i="1" s="1"/>
  <c r="AA20" i="1" l="1"/>
  <c r="Y64" i="1"/>
  <c r="AA41" i="1"/>
  <c r="AA9" i="1"/>
  <c r="V56" i="1"/>
  <c r="Q56" i="1"/>
  <c r="U49" i="1"/>
  <c r="U46" i="1" s="1"/>
  <c r="U41" i="1" s="1"/>
  <c r="G56" i="1"/>
  <c r="U45" i="1"/>
  <c r="T45" i="1"/>
  <c r="K45" i="1"/>
  <c r="J45" i="1"/>
  <c r="K53" i="1"/>
  <c r="J53" i="1"/>
  <c r="J41" i="1" s="1"/>
  <c r="L56" i="1"/>
  <c r="K49" i="1"/>
  <c r="J49" i="1"/>
  <c r="J46" i="1" s="1"/>
  <c r="F53" i="1"/>
  <c r="E55" i="1"/>
  <c r="K10" i="1"/>
  <c r="J10" i="1"/>
  <c r="F10" i="1"/>
  <c r="E10" i="1"/>
  <c r="P46" i="1"/>
  <c r="P41" i="1" s="1"/>
  <c r="G54" i="1"/>
  <c r="L54" i="1"/>
  <c r="V54" i="1"/>
  <c r="Q54" i="1"/>
  <c r="G12" i="1"/>
  <c r="L12" i="1"/>
  <c r="V12" i="1"/>
  <c r="Q12" i="1"/>
  <c r="G50" i="1"/>
  <c r="L50" i="1"/>
  <c r="V50" i="1"/>
  <c r="Q50" i="1"/>
  <c r="K46" i="1"/>
  <c r="K41" i="1" s="1"/>
  <c r="F46" i="1"/>
  <c r="E46" i="1"/>
  <c r="E41" i="1" s="1"/>
  <c r="T46" i="1"/>
  <c r="T41" i="1" s="1"/>
  <c r="O46" i="1"/>
  <c r="O41" i="1" s="1"/>
  <c r="K22" i="1"/>
  <c r="J22" i="1"/>
  <c r="J20" i="1" s="1"/>
  <c r="F22" i="1"/>
  <c r="E22" i="1"/>
  <c r="U22" i="1"/>
  <c r="U20" i="1" s="1"/>
  <c r="T22" i="1"/>
  <c r="T20" i="1" s="1"/>
  <c r="T9" i="1" s="1"/>
  <c r="P22" i="1"/>
  <c r="P20" i="1" s="1"/>
  <c r="O22" i="1"/>
  <c r="O20" i="1" s="1"/>
  <c r="K20" i="1"/>
  <c r="F20" i="1"/>
  <c r="F9" i="1" s="1"/>
  <c r="E20" i="1"/>
  <c r="P10" i="1"/>
  <c r="O10" i="1"/>
  <c r="O9" i="1" s="1"/>
  <c r="U10" i="1"/>
  <c r="T10" i="1"/>
  <c r="AA64" i="1" l="1"/>
  <c r="O64" i="1"/>
  <c r="T64" i="1"/>
  <c r="U9" i="1"/>
  <c r="U64" i="1" s="1"/>
  <c r="K9" i="1"/>
  <c r="K64" i="1" s="1"/>
  <c r="J9" i="1"/>
  <c r="J64" i="1" s="1"/>
  <c r="F41" i="1"/>
  <c r="F64" i="1" s="1"/>
  <c r="G64" i="1" s="1"/>
  <c r="E9" i="1"/>
  <c r="E64" i="1" s="1"/>
  <c r="P9" i="1"/>
  <c r="P64" i="1" s="1"/>
  <c r="Q64" i="1" s="1"/>
  <c r="V63" i="1"/>
  <c r="V61" i="1"/>
  <c r="V60" i="1"/>
  <c r="V59" i="1"/>
  <c r="V58" i="1"/>
  <c r="V57" i="1"/>
  <c r="V55" i="1"/>
  <c r="V53" i="1"/>
  <c r="V52" i="1"/>
  <c r="V51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4" i="1"/>
  <c r="V13" i="1"/>
  <c r="V11" i="1"/>
  <c r="V10" i="1"/>
  <c r="Q63" i="1"/>
  <c r="Q61" i="1"/>
  <c r="Q60" i="1"/>
  <c r="Q59" i="1"/>
  <c r="Q58" i="1"/>
  <c r="Q57" i="1"/>
  <c r="Q55" i="1"/>
  <c r="Q53" i="1"/>
  <c r="Q52" i="1"/>
  <c r="Q51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4" i="1"/>
  <c r="Q13" i="1"/>
  <c r="Q11" i="1"/>
  <c r="Q10" i="1"/>
  <c r="L63" i="1"/>
  <c r="L61" i="1"/>
  <c r="L60" i="1"/>
  <c r="L59" i="1"/>
  <c r="L58" i="1"/>
  <c r="L57" i="1"/>
  <c r="L55" i="1"/>
  <c r="L53" i="1"/>
  <c r="L52" i="1"/>
  <c r="L51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4" i="1"/>
  <c r="L13" i="1"/>
  <c r="L11" i="1"/>
  <c r="L10" i="1"/>
  <c r="G63" i="1"/>
  <c r="G43" i="1"/>
  <c r="G44" i="1"/>
  <c r="G45" i="1"/>
  <c r="G46" i="1"/>
  <c r="G47" i="1"/>
  <c r="G48" i="1"/>
  <c r="G49" i="1"/>
  <c r="G51" i="1"/>
  <c r="G52" i="1"/>
  <c r="G53" i="1"/>
  <c r="G55" i="1"/>
  <c r="G57" i="1"/>
  <c r="G58" i="1"/>
  <c r="G59" i="1"/>
  <c r="G60" i="1"/>
  <c r="G61" i="1"/>
  <c r="G42" i="1"/>
  <c r="G11" i="1"/>
  <c r="G13" i="1"/>
  <c r="G14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7" i="1"/>
  <c r="G38" i="1"/>
  <c r="G39" i="1"/>
  <c r="G40" i="1"/>
  <c r="G10" i="1"/>
  <c r="V64" i="1" l="1"/>
  <c r="V9" i="1"/>
  <c r="G41" i="1"/>
  <c r="L9" i="1"/>
  <c r="L64" i="1"/>
  <c r="G9" i="1"/>
  <c r="Q9" i="1"/>
</calcChain>
</file>

<file path=xl/sharedStrings.xml><?xml version="1.0" encoding="utf-8"?>
<sst xmlns="http://schemas.openxmlformats.org/spreadsheetml/2006/main" count="232" uniqueCount="129">
  <si>
    <t>Показатель</t>
  </si>
  <si>
    <t>Единица измерения</t>
  </si>
  <si>
    <t>тыс. руб.</t>
  </si>
  <si>
    <t>…</t>
  </si>
  <si>
    <t>Подконтрольные расходы</t>
  </si>
  <si>
    <t>№ п/п</t>
  </si>
  <si>
    <t>1.1</t>
  </si>
  <si>
    <t>Материальные затраты</t>
  </si>
  <si>
    <t>Сырье, материалы, запасные части, инструмент, топливо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</si>
  <si>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</si>
  <si>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&lt;постатейная расшифровка расходов&gt;</t>
  </si>
  <si>
    <t>1.1.1</t>
  </si>
  <si>
    <t>1.1.2</t>
  </si>
  <si>
    <t>Расходы на оплату труда (без отчислений на социальные нужды)</t>
  </si>
  <si>
    <t>Прочие расходы, всего, в т.ч.:</t>
  </si>
  <si>
    <t>1.2</t>
  </si>
  <si>
    <t>1.3</t>
  </si>
  <si>
    <t>1.3.1</t>
  </si>
  <si>
    <t>Ремонт основных фондов</t>
  </si>
  <si>
    <t>1.3.2</t>
  </si>
  <si>
    <t>1.3.2.1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</si>
  <si>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</si>
  <si>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</si>
  <si>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</si>
  <si>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Транспортные услуги</t>
  </si>
  <si>
    <t>Прочие услуги сторонних организаций</t>
  </si>
  <si>
    <t>Услуги связи</t>
  </si>
  <si>
    <t>Оплата работ и услуг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</si>
  <si>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</si>
  <si>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</si>
  <si>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</si>
  <si>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</si>
  <si>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</si>
  <si>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Подконтрольные расходы из прибыли</t>
  </si>
  <si>
    <t>Электроэнергия на хозяйственные нужды</t>
  </si>
  <si>
    <t>1.3.2.2</t>
  </si>
  <si>
    <t>1.3.2.3</t>
  </si>
  <si>
    <t>1.3.2.4</t>
  </si>
  <si>
    <t>1.3.2.5</t>
  </si>
  <si>
    <t>1.3.2.6</t>
  </si>
  <si>
    <t>1.3.3</t>
  </si>
  <si>
    <t>1.3.4</t>
  </si>
  <si>
    <t>1.3.5</t>
  </si>
  <si>
    <t>1.3.6</t>
  </si>
  <si>
    <t>1.3.7</t>
  </si>
  <si>
    <t>1.3.8</t>
  </si>
  <si>
    <t>1.3.9</t>
  </si>
  <si>
    <t>Неподконтрольные расходы</t>
  </si>
  <si>
    <t>2.1</t>
  </si>
  <si>
    <t>Оплата услуг ПАО "ФСК ЕЭС"</t>
  </si>
  <si>
    <t>Теплоэнергия</t>
  </si>
  <si>
    <t>Аренда, всего</t>
  </si>
  <si>
    <t>Налог на имущество</t>
  </si>
  <si>
    <t>Прочие налоги и сборы</t>
  </si>
  <si>
    <t>Прочие неподконтрольные расходы</t>
  </si>
  <si>
    <t>Амортизация ОС</t>
  </si>
  <si>
    <t>Прибыль на капитальные вложения</t>
  </si>
  <si>
    <t>Возврат заемных средств, направляемый на финансирование капитальных вложений</t>
  </si>
  <si>
    <t>2.2</t>
  </si>
  <si>
    <t>2.3</t>
  </si>
  <si>
    <t>2.3.1</t>
  </si>
  <si>
    <t>в т.ч. аренда объектов электросетевого комплекса</t>
  </si>
  <si>
    <t>Налоги (без учета налога на прибыль), всего, в т.ч.:</t>
  </si>
  <si>
    <t>2.4</t>
  </si>
  <si>
    <t>2.4.1</t>
  </si>
  <si>
    <t>Плата за землю</t>
  </si>
  <si>
    <t>Отчисления на социальные нужды</t>
  </si>
  <si>
    <t>2.4.2</t>
  </si>
  <si>
    <t>2.4.3</t>
  </si>
  <si>
    <t>2.5</t>
  </si>
  <si>
    <t>2.6</t>
  </si>
  <si>
    <t>Налог на прибыль</t>
  </si>
  <si>
    <t>2.7</t>
  </si>
  <si>
    <t>2.8</t>
  </si>
  <si>
    <t>Выпадающие доходы по п.87 Основ ценообразования (связанные с технологическим присоединением)</t>
  </si>
  <si>
    <t>Расходы, связанные с компенсацией незапланированных расходов или полученного избытка</t>
  </si>
  <si>
    <t>2.9</t>
  </si>
  <si>
    <t>2.10</t>
  </si>
  <si>
    <t>2.11</t>
  </si>
  <si>
    <t>Итого НВВ</t>
  </si>
  <si>
    <t>План (утверждено)</t>
  </si>
  <si>
    <t>Отклонение</t>
  </si>
  <si>
    <t>6 = 5 - 4</t>
  </si>
  <si>
    <t>Факт 
согласно данным раздельного учета</t>
  </si>
  <si>
    <t>Наименование организации:</t>
  </si>
  <si>
    <t>2015 год</t>
  </si>
  <si>
    <t>Примечание
(причины отклонения)</t>
  </si>
  <si>
    <t>2016 год</t>
  </si>
  <si>
    <t>2017 год</t>
  </si>
  <si>
    <t>2018 год</t>
  </si>
  <si>
    <t>Расходы, учитываемые при установлении НВВ на содержание электрических сетей</t>
  </si>
  <si>
    <t>Примечание: постатейная расшифровка расходов обязательна</t>
  </si>
  <si>
    <t>Справочно: факт по данным налогового учета</t>
  </si>
  <si>
    <t>11 = 10 - 9</t>
  </si>
  <si>
    <t>16 = 15 - 14</t>
  </si>
  <si>
    <t>21 = 20 - 19</t>
  </si>
  <si>
    <t>х</t>
  </si>
  <si>
    <t>Ларионова Е. А.</t>
  </si>
  <si>
    <t>Тарабанько А. М.</t>
  </si>
  <si>
    <t>МУП "Кировская горэлектросеть"</t>
  </si>
  <si>
    <t>транспортный налог</t>
  </si>
  <si>
    <t>налог на загрязнение окр.среды</t>
  </si>
  <si>
    <t>2.4.3.1</t>
  </si>
  <si>
    <t>3.4.3.2</t>
  </si>
  <si>
    <t>1.1.1.1</t>
  </si>
  <si>
    <t>1.1.1.2</t>
  </si>
  <si>
    <t>ГСМ</t>
  </si>
  <si>
    <t>прочие вспомогательные материалы</t>
  </si>
  <si>
    <t>2.6.1</t>
  </si>
  <si>
    <t>2.6.2</t>
  </si>
  <si>
    <t>расходы на услуги банков</t>
  </si>
  <si>
    <t>денежные выплаты соц.характера (по Коллективному договору)</t>
  </si>
  <si>
    <t>2.6.3</t>
  </si>
  <si>
    <t>расходы на сертификацию</t>
  </si>
  <si>
    <t>1.1.2.1</t>
  </si>
  <si>
    <t>1.1.2.2</t>
  </si>
  <si>
    <t>1.1.2.3</t>
  </si>
  <si>
    <t>1.1.2.4</t>
  </si>
  <si>
    <t>проектные работы</t>
  </si>
  <si>
    <t>прочие работы и услуги</t>
  </si>
  <si>
    <t>текущий ремонт э/сетей</t>
  </si>
  <si>
    <t>капитальный ремонт э/сетей</t>
  </si>
  <si>
    <t>медосмотр</t>
  </si>
  <si>
    <t>хозрасходы</t>
  </si>
  <si>
    <t>прочие</t>
  </si>
  <si>
    <t>2019 год</t>
  </si>
  <si>
    <t>26 = 25 - 24</t>
  </si>
  <si>
    <t>Директор</t>
  </si>
  <si>
    <t>Начальник ПЭО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</si>
</sst>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4" xfId="0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 applyAlignment="1">
      <alignment horizontal="left" wrapText="1" inden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 indent="2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0" borderId="0" xfId="0" applyFont="1" applyBorder="1"/>
    <xf numFmtId="4" fontId="2" fillId="2" borderId="1" xfId="0" applyNumberFormat="1" applyFont="1" applyFill="1" applyBorder="1"/>
    <xf numFmtId="4" fontId="2" fillId="0" borderId="1" xfId="0" applyNumberFormat="1" applyFont="1" applyBorder="1"/>
    <xf numFmtId="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3"/>
    </xf>
    <xf numFmtId="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left" wrapText="1" indent="1"/>
    </xf>
    <xf numFmtId="0" fontId="2" fillId="0" borderId="1" xfId="0" applyFont="1" applyFill="1" applyBorder="1" applyAlignment="1">
      <alignment horizontal="left" indent="2"/>
    </xf>
    <xf numFmtId="4" fontId="2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80"/>
  <sheetViews>
    <sheetView showGridLines="0" tabSelected="1" workbookViewId="0">
      <pane xSplit="4" topLeftCell="J1" activePane="topRight" state="frozen"/>
      <selection pane="topRight" activeCell="Z56" sqref="Z56"/>
    </sheetView>
  </sheetViews>
  <sheetFormatPr defaultRowHeight="11.25" outlineLevelCol="1" x14ac:dyDescent="0.2"/>
  <cols>
    <col min="1" max="1" width="3.5703125" style="1" customWidth="1"/>
    <col min="2" max="2" width="7.85546875" style="1" customWidth="1"/>
    <col min="3" max="3" width="31.5703125" style="1" customWidth="1"/>
    <col min="4" max="4" width="9.42578125" style="1" customWidth="1"/>
    <col min="5" max="9" width="10.7109375" style="1" hidden="1" customWidth="1" outlineLevel="1"/>
    <col min="10" max="10" width="10.7109375" style="1" hidden="1" customWidth="1" outlineLevel="1" collapsed="1"/>
    <col min="11" max="14" width="10.7109375" style="1" hidden="1" customWidth="1" outlineLevel="1"/>
    <col min="15" max="15" width="10.7109375" style="1" customWidth="1" collapsed="1"/>
    <col min="16" max="29" width="10.7109375" style="1" customWidth="1"/>
    <col min="30" max="16384" width="9.140625" style="1"/>
  </cols>
  <sheetData>
    <row r="2" spans="2:29" ht="22.5" customHeight="1" x14ac:dyDescent="0.2">
      <c r="B2" s="41" t="s">
        <v>90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2:29" ht="14.25" x14ac:dyDescent="0.2">
      <c r="C3" s="6"/>
      <c r="D3" s="6"/>
      <c r="E3" s="6"/>
      <c r="F3" s="6"/>
      <c r="G3" s="6"/>
      <c r="H3" s="6"/>
      <c r="I3" s="7"/>
      <c r="J3" s="6"/>
      <c r="K3" s="6"/>
      <c r="L3" s="6"/>
      <c r="M3" s="6"/>
      <c r="N3" s="7"/>
    </row>
    <row r="4" spans="2:29" ht="24" customHeight="1" x14ac:dyDescent="0.2">
      <c r="B4" s="9" t="s">
        <v>84</v>
      </c>
      <c r="D4" s="6"/>
      <c r="E4" s="6"/>
      <c r="F4" s="6"/>
      <c r="G4" s="6"/>
      <c r="H4" s="6"/>
      <c r="I4" s="7"/>
      <c r="J4" s="6"/>
      <c r="K4" s="7"/>
      <c r="L4" s="7"/>
      <c r="M4" s="7"/>
      <c r="N4" s="7"/>
      <c r="O4" s="40" t="s">
        <v>99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2:29" x14ac:dyDescent="0.2">
      <c r="K5" s="10"/>
      <c r="M5" s="10"/>
      <c r="N5" s="19"/>
    </row>
    <row r="6" spans="2:29" ht="18" customHeight="1" x14ac:dyDescent="0.2">
      <c r="B6" s="42" t="s">
        <v>5</v>
      </c>
      <c r="C6" s="42" t="s">
        <v>0</v>
      </c>
      <c r="D6" s="44" t="s">
        <v>1</v>
      </c>
      <c r="E6" s="37" t="s">
        <v>85</v>
      </c>
      <c r="F6" s="38"/>
      <c r="G6" s="38"/>
      <c r="H6" s="38"/>
      <c r="I6" s="39"/>
      <c r="J6" s="37" t="s">
        <v>87</v>
      </c>
      <c r="K6" s="38"/>
      <c r="L6" s="38"/>
      <c r="M6" s="38"/>
      <c r="N6" s="39"/>
      <c r="O6" s="37" t="s">
        <v>88</v>
      </c>
      <c r="P6" s="38"/>
      <c r="Q6" s="38"/>
      <c r="R6" s="38"/>
      <c r="S6" s="39"/>
      <c r="T6" s="37" t="s">
        <v>89</v>
      </c>
      <c r="U6" s="38"/>
      <c r="V6" s="38"/>
      <c r="W6" s="38"/>
      <c r="X6" s="39"/>
      <c r="Y6" s="37" t="s">
        <v>125</v>
      </c>
      <c r="Z6" s="38"/>
      <c r="AA6" s="38"/>
      <c r="AB6" s="38"/>
      <c r="AC6" s="39"/>
    </row>
    <row r="7" spans="2:29" ht="75" customHeight="1" x14ac:dyDescent="0.2">
      <c r="B7" s="43"/>
      <c r="C7" s="43"/>
      <c r="D7" s="45"/>
      <c r="E7" s="8" t="s">
        <v>80</v>
      </c>
      <c r="F7" s="8" t="s">
        <v>83</v>
      </c>
      <c r="G7" s="8" t="s">
        <v>81</v>
      </c>
      <c r="H7" s="8" t="s">
        <v>86</v>
      </c>
      <c r="I7" s="8" t="s">
        <v>92</v>
      </c>
      <c r="J7" s="8" t="s">
        <v>80</v>
      </c>
      <c r="K7" s="8" t="s">
        <v>83</v>
      </c>
      <c r="L7" s="8" t="s">
        <v>81</v>
      </c>
      <c r="M7" s="8" t="s">
        <v>86</v>
      </c>
      <c r="N7" s="8" t="s">
        <v>92</v>
      </c>
      <c r="O7" s="8" t="s">
        <v>80</v>
      </c>
      <c r="P7" s="8" t="s">
        <v>83</v>
      </c>
      <c r="Q7" s="8" t="s">
        <v>81</v>
      </c>
      <c r="R7" s="8" t="s">
        <v>86</v>
      </c>
      <c r="S7" s="8" t="s">
        <v>92</v>
      </c>
      <c r="T7" s="8" t="s">
        <v>80</v>
      </c>
      <c r="U7" s="8" t="s">
        <v>83</v>
      </c>
      <c r="V7" s="8" t="s">
        <v>81</v>
      </c>
      <c r="W7" s="8" t="s">
        <v>86</v>
      </c>
      <c r="X7" s="8" t="s">
        <v>92</v>
      </c>
      <c r="Y7" s="35" t="s">
        <v>80</v>
      </c>
      <c r="Z7" s="35" t="s">
        <v>83</v>
      </c>
      <c r="AA7" s="35" t="s">
        <v>81</v>
      </c>
      <c r="AB7" s="35" t="s">
        <v>86</v>
      </c>
      <c r="AC7" s="35" t="s">
        <v>92</v>
      </c>
    </row>
    <row r="8" spans="2:29" x14ac:dyDescent="0.2">
      <c r="B8" s="2">
        <v>1</v>
      </c>
      <c r="C8" s="2">
        <v>2</v>
      </c>
      <c r="D8" s="2">
        <v>3</v>
      </c>
      <c r="E8" s="2">
        <v>4</v>
      </c>
      <c r="F8" s="2">
        <v>5</v>
      </c>
      <c r="G8" s="2" t="s">
        <v>82</v>
      </c>
      <c r="H8" s="2">
        <v>7</v>
      </c>
      <c r="I8" s="2">
        <v>8</v>
      </c>
      <c r="J8" s="2">
        <v>9</v>
      </c>
      <c r="K8" s="2">
        <v>10</v>
      </c>
      <c r="L8" s="2" t="s">
        <v>93</v>
      </c>
      <c r="M8" s="2">
        <v>12</v>
      </c>
      <c r="N8" s="2">
        <v>13</v>
      </c>
      <c r="O8" s="2">
        <v>14</v>
      </c>
      <c r="P8" s="2">
        <v>15</v>
      </c>
      <c r="Q8" s="2" t="s">
        <v>94</v>
      </c>
      <c r="R8" s="2">
        <v>17</v>
      </c>
      <c r="S8" s="2">
        <v>18</v>
      </c>
      <c r="T8" s="2">
        <v>19</v>
      </c>
      <c r="U8" s="2">
        <v>20</v>
      </c>
      <c r="V8" s="2" t="s">
        <v>95</v>
      </c>
      <c r="W8" s="2">
        <v>22</v>
      </c>
      <c r="X8" s="2">
        <v>23</v>
      </c>
      <c r="Y8" s="2">
        <v>24</v>
      </c>
      <c r="Z8" s="2">
        <v>25</v>
      </c>
      <c r="AA8" s="2" t="s">
        <v>126</v>
      </c>
      <c r="AB8" s="2">
        <v>27</v>
      </c>
      <c r="AC8" s="2">
        <v>28</v>
      </c>
    </row>
    <row r="9" spans="2:29" x14ac:dyDescent="0.2">
      <c r="B9" s="17">
        <v>1</v>
      </c>
      <c r="C9" s="11" t="s">
        <v>4</v>
      </c>
      <c r="D9" s="12" t="s">
        <v>2</v>
      </c>
      <c r="E9" s="20">
        <f>E10+E19+E20</f>
        <v>33611.17</v>
      </c>
      <c r="F9" s="20">
        <f>F10+F19+F20</f>
        <v>37634.614999999998</v>
      </c>
      <c r="G9" s="20">
        <f>F9-E9</f>
        <v>4023.4449999999997</v>
      </c>
      <c r="H9" s="20"/>
      <c r="I9" s="20"/>
      <c r="J9" s="20">
        <f>J10+J19+J20</f>
        <v>35561.72</v>
      </c>
      <c r="K9" s="20">
        <f>K10+K19+K20</f>
        <v>39047.770000000004</v>
      </c>
      <c r="L9" s="20">
        <f>K9-J9</f>
        <v>3486.0500000000029</v>
      </c>
      <c r="M9" s="20"/>
      <c r="N9" s="20"/>
      <c r="O9" s="20">
        <f>O10+O19+O20</f>
        <v>36183.78</v>
      </c>
      <c r="P9" s="20">
        <f>P10+P19+P20</f>
        <v>37161.592000000004</v>
      </c>
      <c r="Q9" s="20">
        <f>P9-O9</f>
        <v>977.81200000000536</v>
      </c>
      <c r="R9" s="20"/>
      <c r="S9" s="20"/>
      <c r="T9" s="20">
        <f>T10+T19+T20</f>
        <v>36498.609000000004</v>
      </c>
      <c r="U9" s="20">
        <f>U10+U19+U20</f>
        <v>49921.958870000009</v>
      </c>
      <c r="V9" s="20">
        <f>U9-T9</f>
        <v>13423.349870000005</v>
      </c>
      <c r="W9" s="20"/>
      <c r="X9" s="13"/>
      <c r="Y9" s="20">
        <f>Y10+Y19+Y20</f>
        <v>37242.89</v>
      </c>
      <c r="Z9" s="20">
        <f>Z10+Z19+Z20</f>
        <v>48618.460000000006</v>
      </c>
      <c r="AA9" s="20">
        <f>Z9-Y9</f>
        <v>11375.570000000007</v>
      </c>
      <c r="AB9" s="20"/>
      <c r="AC9" s="13"/>
    </row>
    <row r="10" spans="2:29" x14ac:dyDescent="0.2">
      <c r="B10" s="15" t="s">
        <v>6</v>
      </c>
      <c r="C10" s="5" t="s">
        <v>7</v>
      </c>
      <c r="D10" s="4" t="s">
        <v>2</v>
      </c>
      <c r="E10" s="26">
        <f>E11+E14</f>
        <v>3284.19</v>
      </c>
      <c r="F10" s="26">
        <f>F11+F14</f>
        <v>3060.87</v>
      </c>
      <c r="G10" s="26">
        <f>F10-E10</f>
        <v>-223.32000000000016</v>
      </c>
      <c r="H10" s="26"/>
      <c r="I10" s="26"/>
      <c r="J10" s="26">
        <f>J11+J14</f>
        <v>3519.6400000000003</v>
      </c>
      <c r="K10" s="26">
        <f>K11+K14</f>
        <v>3146.25</v>
      </c>
      <c r="L10" s="21">
        <f>K10-J10</f>
        <v>-373.39000000000033</v>
      </c>
      <c r="M10" s="21"/>
      <c r="N10" s="21"/>
      <c r="O10" s="21">
        <f>O11+O14</f>
        <v>3584.2250000000004</v>
      </c>
      <c r="P10" s="21">
        <f>P11+P14</f>
        <v>4039.25</v>
      </c>
      <c r="Q10" s="21">
        <f>P10-O10</f>
        <v>455.02499999999964</v>
      </c>
      <c r="R10" s="21"/>
      <c r="S10" s="21"/>
      <c r="T10" s="21">
        <f>T11+T14</f>
        <v>3616.489</v>
      </c>
      <c r="U10" s="21">
        <f>U11+U14</f>
        <v>3421.2</v>
      </c>
      <c r="V10" s="21">
        <f>U10-T10</f>
        <v>-195.28900000000021</v>
      </c>
      <c r="W10" s="21"/>
      <c r="X10" s="5"/>
      <c r="Y10" s="26">
        <f>Y11+Y14</f>
        <v>3690.2400000000002</v>
      </c>
      <c r="Z10" s="26">
        <f>Z11+Z14</f>
        <v>2549.41</v>
      </c>
      <c r="AA10" s="21">
        <f>Z10-Y10</f>
        <v>-1140.8300000000004</v>
      </c>
      <c r="AB10" s="21"/>
      <c r="AC10" s="5"/>
    </row>
    <row r="11" spans="2:29" ht="22.5" x14ac:dyDescent="0.2">
      <c r="B11" s="15" t="s">
        <v>11</v>
      </c>
      <c r="C11" s="14" t="s">
        <v>8</v>
      </c>
      <c r="D11" s="4" t="s">
        <v>2</v>
      </c>
      <c r="E11" s="26">
        <v>2542.54</v>
      </c>
      <c r="F11" s="26">
        <v>2026.77</v>
      </c>
      <c r="G11" s="21">
        <f t="shared" ref="G11:G64" si="0">F11-E11</f>
        <v>-515.77</v>
      </c>
      <c r="H11" s="21"/>
      <c r="I11" s="21"/>
      <c r="J11" s="26">
        <v>2724.82</v>
      </c>
      <c r="K11" s="26">
        <v>2532.79</v>
      </c>
      <c r="L11" s="21">
        <f t="shared" ref="L11:L64" si="1">K11-J11</f>
        <v>-192.0300000000002</v>
      </c>
      <c r="M11" s="21"/>
      <c r="N11" s="21"/>
      <c r="O11" s="21">
        <v>2774.82</v>
      </c>
      <c r="P11" s="21">
        <v>2634.5549999999998</v>
      </c>
      <c r="Q11" s="21">
        <f t="shared" ref="Q11:Q64" si="2">P11-O11</f>
        <v>-140.26500000000033</v>
      </c>
      <c r="R11" s="21"/>
      <c r="S11" s="21"/>
      <c r="T11" s="21">
        <v>2799.7945</v>
      </c>
      <c r="U11" s="26">
        <f>U12+U13</f>
        <v>2016.1</v>
      </c>
      <c r="V11" s="21">
        <f t="shared" ref="V11:V64" si="3">U11-T11</f>
        <v>-783.69450000000006</v>
      </c>
      <c r="W11" s="21"/>
      <c r="X11" s="5"/>
      <c r="Y11" s="26">
        <f>Y12+Y13</f>
        <v>2856.8900000000003</v>
      </c>
      <c r="Z11" s="26">
        <f>Z12+Z13</f>
        <v>1639.72</v>
      </c>
      <c r="AA11" s="21">
        <f t="shared" ref="AA11:AA61" si="4">Z11-Y11</f>
        <v>-1217.1700000000003</v>
      </c>
      <c r="AB11" s="21"/>
      <c r="AC11" s="5"/>
    </row>
    <row r="12" spans="2:29" x14ac:dyDescent="0.2">
      <c r="B12" s="15" t="s">
        <v>104</v>
      </c>
      <c r="C12" s="16" t="s">
        <v>106</v>
      </c>
      <c r="D12" s="4" t="s">
        <v>2</v>
      </c>
      <c r="E12" s="26">
        <v>1932.47</v>
      </c>
      <c r="F12" s="26">
        <v>1628.06</v>
      </c>
      <c r="G12" s="21">
        <f t="shared" si="0"/>
        <v>-304.41000000000008</v>
      </c>
      <c r="H12" s="21"/>
      <c r="I12" s="21"/>
      <c r="J12" s="26">
        <v>2071.0100000000002</v>
      </c>
      <c r="K12" s="26">
        <v>2053.7600000000002</v>
      </c>
      <c r="L12" s="21">
        <f t="shared" si="1"/>
        <v>-17.25</v>
      </c>
      <c r="M12" s="21"/>
      <c r="N12" s="21"/>
      <c r="O12" s="26">
        <v>2164.1999999999998</v>
      </c>
      <c r="P12" s="26">
        <v>1715.2049999999999</v>
      </c>
      <c r="Q12" s="21">
        <f t="shared" si="2"/>
        <v>-448.99499999999989</v>
      </c>
      <c r="R12" s="21"/>
      <c r="S12" s="21"/>
      <c r="T12" s="21">
        <v>2183.6799999999998</v>
      </c>
      <c r="U12" s="26">
        <v>1135.0999999999999</v>
      </c>
      <c r="V12" s="21">
        <f t="shared" si="3"/>
        <v>-1048.58</v>
      </c>
      <c r="W12" s="21"/>
      <c r="X12" s="5"/>
      <c r="Y12" s="26">
        <v>2281.94</v>
      </c>
      <c r="Z12" s="26">
        <f>31.39+1408.79</f>
        <v>1440.18</v>
      </c>
      <c r="AA12" s="21">
        <f t="shared" si="4"/>
        <v>-841.76</v>
      </c>
      <c r="AB12" s="21"/>
      <c r="AC12" s="5"/>
    </row>
    <row r="13" spans="2:29" x14ac:dyDescent="0.2">
      <c r="B13" s="15" t="s">
        <v>105</v>
      </c>
      <c r="C13" s="33" t="s">
        <v>107</v>
      </c>
      <c r="D13" s="4" t="s">
        <v>2</v>
      </c>
      <c r="E13" s="26">
        <v>610.07000000000005</v>
      </c>
      <c r="F13" s="26">
        <v>398.71</v>
      </c>
      <c r="G13" s="21">
        <f t="shared" si="0"/>
        <v>-211.36000000000007</v>
      </c>
      <c r="H13" s="21"/>
      <c r="I13" s="21"/>
      <c r="J13" s="26">
        <v>653.80999999999995</v>
      </c>
      <c r="K13" s="26">
        <v>479.03</v>
      </c>
      <c r="L13" s="21">
        <f t="shared" si="1"/>
        <v>-174.77999999999997</v>
      </c>
      <c r="M13" s="21"/>
      <c r="N13" s="21"/>
      <c r="O13" s="26">
        <v>610.61500000000001</v>
      </c>
      <c r="P13" s="26">
        <v>919.35</v>
      </c>
      <c r="Q13" s="21">
        <f t="shared" si="2"/>
        <v>308.73500000000001</v>
      </c>
      <c r="R13" s="21"/>
      <c r="S13" s="21"/>
      <c r="T13" s="26">
        <v>616.11</v>
      </c>
      <c r="U13" s="26">
        <v>881</v>
      </c>
      <c r="V13" s="21">
        <f t="shared" si="3"/>
        <v>264.89</v>
      </c>
      <c r="W13" s="21"/>
      <c r="X13" s="5"/>
      <c r="Y13" s="26">
        <v>574.95000000000005</v>
      </c>
      <c r="Z13" s="26">
        <f>41.18+6.61+4.82+4.64+124.86+17.43</f>
        <v>199.54000000000002</v>
      </c>
      <c r="AA13" s="21">
        <f t="shared" si="4"/>
        <v>-375.41</v>
      </c>
      <c r="AB13" s="21"/>
      <c r="AC13" s="5"/>
    </row>
    <row r="14" spans="2:29" ht="45" x14ac:dyDescent="0.2">
      <c r="B14" s="15" t="s">
        <v>12</v>
      </c>
      <c r="C14" s="14" t="s">
        <v>9</v>
      </c>
      <c r="D14" s="4" t="s">
        <v>2</v>
      </c>
      <c r="E14" s="26">
        <v>741.65</v>
      </c>
      <c r="F14" s="26">
        <v>1034.0999999999999</v>
      </c>
      <c r="G14" s="21">
        <f t="shared" si="0"/>
        <v>292.44999999999993</v>
      </c>
      <c r="H14" s="21"/>
      <c r="I14" s="21"/>
      <c r="J14" s="26">
        <v>794.82</v>
      </c>
      <c r="K14" s="26">
        <v>613.46</v>
      </c>
      <c r="L14" s="21">
        <f t="shared" si="1"/>
        <v>-181.36</v>
      </c>
      <c r="M14" s="21"/>
      <c r="N14" s="21"/>
      <c r="O14" s="21">
        <v>809.40499999999997</v>
      </c>
      <c r="P14" s="21">
        <v>1404.6949999999999</v>
      </c>
      <c r="Q14" s="21">
        <f t="shared" si="2"/>
        <v>595.29</v>
      </c>
      <c r="R14" s="21"/>
      <c r="S14" s="21"/>
      <c r="T14" s="21">
        <v>816.69449999999995</v>
      </c>
      <c r="U14" s="21">
        <v>1405.1</v>
      </c>
      <c r="V14" s="21">
        <f t="shared" si="3"/>
        <v>588.40549999999996</v>
      </c>
      <c r="W14" s="21"/>
      <c r="X14" s="5"/>
      <c r="Y14" s="26">
        <v>833.35</v>
      </c>
      <c r="Z14" s="26">
        <f>Z15+Z16+Z17+Z18</f>
        <v>909.69</v>
      </c>
      <c r="AA14" s="21">
        <f t="shared" si="4"/>
        <v>76.340000000000032</v>
      </c>
      <c r="AB14" s="21"/>
      <c r="AC14" s="5"/>
    </row>
    <row r="15" spans="2:29" x14ac:dyDescent="0.2">
      <c r="B15" s="15" t="s">
        <v>114</v>
      </c>
      <c r="C15" s="16" t="s">
        <v>120</v>
      </c>
      <c r="D15" s="4" t="s">
        <v>2</v>
      </c>
      <c r="E15" s="26">
        <v>500</v>
      </c>
      <c r="F15" s="26">
        <v>544.91</v>
      </c>
      <c r="G15" s="21">
        <f t="shared" si="0"/>
        <v>44.909999999999968</v>
      </c>
      <c r="H15" s="21"/>
      <c r="I15" s="21"/>
      <c r="J15" s="26">
        <v>600</v>
      </c>
      <c r="K15" s="26">
        <v>593.76</v>
      </c>
      <c r="L15" s="21">
        <f t="shared" si="1"/>
        <v>-6.2400000000000091</v>
      </c>
      <c r="M15" s="21"/>
      <c r="N15" s="21"/>
      <c r="O15" s="26">
        <v>600</v>
      </c>
      <c r="P15" s="26">
        <v>446.52</v>
      </c>
      <c r="Q15" s="21">
        <f t="shared" si="2"/>
        <v>-153.48000000000002</v>
      </c>
      <c r="R15" s="21"/>
      <c r="S15" s="21"/>
      <c r="T15" s="21">
        <v>400</v>
      </c>
      <c r="U15" s="21">
        <v>364</v>
      </c>
      <c r="V15" s="21">
        <f t="shared" si="3"/>
        <v>-36</v>
      </c>
      <c r="W15" s="21"/>
      <c r="X15" s="5"/>
      <c r="Y15" s="26">
        <v>400</v>
      </c>
      <c r="Z15" s="26">
        <f>843.36</f>
        <v>843.36</v>
      </c>
      <c r="AA15" s="21">
        <f t="shared" si="4"/>
        <v>443.36</v>
      </c>
      <c r="AB15" s="21"/>
      <c r="AC15" s="5"/>
    </row>
    <row r="16" spans="2:29" x14ac:dyDescent="0.2">
      <c r="B16" s="15" t="s">
        <v>115</v>
      </c>
      <c r="C16" s="16" t="s">
        <v>121</v>
      </c>
      <c r="D16" s="4" t="s">
        <v>2</v>
      </c>
      <c r="E16" s="26">
        <f>E14-E15</f>
        <v>241.64999999999998</v>
      </c>
      <c r="F16" s="26">
        <v>216.09</v>
      </c>
      <c r="G16" s="21">
        <f t="shared" si="0"/>
        <v>-25.559999999999974</v>
      </c>
      <c r="H16" s="21"/>
      <c r="I16" s="21"/>
      <c r="J16" s="26">
        <f>J14-J15</f>
        <v>194.82000000000005</v>
      </c>
      <c r="K16" s="26">
        <f>K14-K15</f>
        <v>19.700000000000045</v>
      </c>
      <c r="L16" s="21">
        <f t="shared" si="1"/>
        <v>-175.12</v>
      </c>
      <c r="M16" s="21"/>
      <c r="N16" s="21"/>
      <c r="O16" s="26">
        <f>O14-O15</f>
        <v>209.40499999999997</v>
      </c>
      <c r="P16" s="26">
        <v>50.2</v>
      </c>
      <c r="Q16" s="21">
        <f t="shared" si="2"/>
        <v>-159.20499999999998</v>
      </c>
      <c r="R16" s="21"/>
      <c r="S16" s="21"/>
      <c r="T16" s="21">
        <v>150</v>
      </c>
      <c r="U16" s="21">
        <v>108</v>
      </c>
      <c r="V16" s="21">
        <f t="shared" si="3"/>
        <v>-42</v>
      </c>
      <c r="W16" s="21"/>
      <c r="X16" s="5"/>
      <c r="Y16" s="26">
        <v>150</v>
      </c>
      <c r="Z16" s="26">
        <f>8.57</f>
        <v>8.57</v>
      </c>
      <c r="AA16" s="21">
        <f t="shared" si="4"/>
        <v>-141.43</v>
      </c>
      <c r="AB16" s="21"/>
      <c r="AC16" s="5"/>
    </row>
    <row r="17" spans="2:29" x14ac:dyDescent="0.2">
      <c r="B17" s="15" t="s">
        <v>116</v>
      </c>
      <c r="C17" s="16" t="s">
        <v>118</v>
      </c>
      <c r="D17" s="4" t="s">
        <v>2</v>
      </c>
      <c r="E17" s="26">
        <v>0</v>
      </c>
      <c r="F17" s="26">
        <v>0</v>
      </c>
      <c r="G17" s="21">
        <f t="shared" si="0"/>
        <v>0</v>
      </c>
      <c r="H17" s="21"/>
      <c r="I17" s="21"/>
      <c r="J17" s="26">
        <v>0</v>
      </c>
      <c r="K17" s="26">
        <v>0</v>
      </c>
      <c r="L17" s="21">
        <f t="shared" si="1"/>
        <v>0</v>
      </c>
      <c r="M17" s="21"/>
      <c r="N17" s="21"/>
      <c r="O17" s="26">
        <v>0</v>
      </c>
      <c r="P17" s="26">
        <v>0</v>
      </c>
      <c r="Q17" s="21">
        <f t="shared" si="2"/>
        <v>0</v>
      </c>
      <c r="R17" s="21"/>
      <c r="S17" s="21"/>
      <c r="T17" s="21">
        <v>0</v>
      </c>
      <c r="U17" s="21">
        <v>684</v>
      </c>
      <c r="V17" s="21">
        <f t="shared" si="3"/>
        <v>684</v>
      </c>
      <c r="W17" s="21"/>
      <c r="X17" s="5"/>
      <c r="Y17" s="26">
        <v>0</v>
      </c>
      <c r="Z17" s="26">
        <v>0</v>
      </c>
      <c r="AA17" s="21">
        <f t="shared" si="4"/>
        <v>0</v>
      </c>
      <c r="AB17" s="21"/>
      <c r="AC17" s="5"/>
    </row>
    <row r="18" spans="2:29" x14ac:dyDescent="0.2">
      <c r="B18" s="15" t="s">
        <v>117</v>
      </c>
      <c r="C18" s="33" t="s">
        <v>119</v>
      </c>
      <c r="D18" s="4" t="s">
        <v>2</v>
      </c>
      <c r="E18" s="26">
        <v>0</v>
      </c>
      <c r="F18" s="26">
        <f>F14-F15-F16</f>
        <v>273.09999999999991</v>
      </c>
      <c r="G18" s="21">
        <f t="shared" si="0"/>
        <v>273.09999999999991</v>
      </c>
      <c r="H18" s="21"/>
      <c r="I18" s="21"/>
      <c r="J18" s="26">
        <v>0</v>
      </c>
      <c r="K18" s="26">
        <v>0</v>
      </c>
      <c r="L18" s="21">
        <f t="shared" si="1"/>
        <v>0</v>
      </c>
      <c r="M18" s="21"/>
      <c r="N18" s="21"/>
      <c r="O18" s="26">
        <v>0</v>
      </c>
      <c r="P18" s="26">
        <f>P14-P15-P16</f>
        <v>907.97499999999991</v>
      </c>
      <c r="Q18" s="21">
        <f t="shared" si="2"/>
        <v>907.97499999999991</v>
      </c>
      <c r="R18" s="21"/>
      <c r="S18" s="21"/>
      <c r="T18" s="26">
        <f>T14-T15-T16</f>
        <v>266.69449999999995</v>
      </c>
      <c r="U18" s="26">
        <f>U14-U15-U16-U17</f>
        <v>249.09999999999991</v>
      </c>
      <c r="V18" s="21">
        <f t="shared" si="3"/>
        <v>-17.594500000000039</v>
      </c>
      <c r="W18" s="21"/>
      <c r="X18" s="5"/>
      <c r="Y18" s="26">
        <f>Y14-Y15-Y16</f>
        <v>283.35000000000002</v>
      </c>
      <c r="Z18" s="26">
        <f>22.32+2.84+11.95+4.6+16.05</f>
        <v>57.760000000000005</v>
      </c>
      <c r="AA18" s="21">
        <f t="shared" si="4"/>
        <v>-225.59000000000003</v>
      </c>
      <c r="AB18" s="21"/>
      <c r="AC18" s="5"/>
    </row>
    <row r="19" spans="2:29" ht="22.5" x14ac:dyDescent="0.2">
      <c r="B19" s="15" t="s">
        <v>15</v>
      </c>
      <c r="C19" s="3" t="s">
        <v>13</v>
      </c>
      <c r="D19" s="4" t="s">
        <v>2</v>
      </c>
      <c r="E19" s="26">
        <v>23109.54</v>
      </c>
      <c r="F19" s="26">
        <v>26456.69</v>
      </c>
      <c r="G19" s="21">
        <f t="shared" si="0"/>
        <v>3347.1499999999978</v>
      </c>
      <c r="H19" s="21"/>
      <c r="I19" s="21"/>
      <c r="J19" s="26">
        <v>24766.29</v>
      </c>
      <c r="K19" s="26">
        <v>27491.29</v>
      </c>
      <c r="L19" s="21">
        <f t="shared" si="1"/>
        <v>2725</v>
      </c>
      <c r="M19" s="21"/>
      <c r="N19" s="21"/>
      <c r="O19" s="26">
        <v>25413.485000000001</v>
      </c>
      <c r="P19" s="26">
        <v>27702.345000000001</v>
      </c>
      <c r="Q19" s="21">
        <f t="shared" si="2"/>
        <v>2288.8600000000006</v>
      </c>
      <c r="R19" s="21"/>
      <c r="S19" s="21"/>
      <c r="T19" s="26">
        <v>25642.21</v>
      </c>
      <c r="U19" s="26">
        <v>37265.62113</v>
      </c>
      <c r="V19" s="21">
        <f t="shared" si="3"/>
        <v>11623.41113</v>
      </c>
      <c r="W19" s="21"/>
      <c r="X19" s="5"/>
      <c r="Y19" s="26">
        <v>26165.11</v>
      </c>
      <c r="Z19" s="26">
        <f>16121.09+7055.18+14778.01+132.08+103.9+154.93</f>
        <v>38345.19</v>
      </c>
      <c r="AA19" s="21">
        <f t="shared" si="4"/>
        <v>12180.080000000002</v>
      </c>
      <c r="AB19" s="21"/>
      <c r="AC19" s="5"/>
    </row>
    <row r="20" spans="2:29" s="31" customFormat="1" x14ac:dyDescent="0.2">
      <c r="B20" s="27" t="s">
        <v>16</v>
      </c>
      <c r="C20" s="28" t="s">
        <v>14</v>
      </c>
      <c r="D20" s="29" t="s">
        <v>2</v>
      </c>
      <c r="E20" s="26">
        <f>E21+E22+E30+E31+E32+E33+E34+E38+E39</f>
        <v>7217.4400000000005</v>
      </c>
      <c r="F20" s="26">
        <f>F21+F22+F30+F31+F32+F33+F34+F38+F39</f>
        <v>8117.0550000000003</v>
      </c>
      <c r="G20" s="26">
        <f t="shared" si="0"/>
        <v>899.61499999999978</v>
      </c>
      <c r="H20" s="26"/>
      <c r="I20" s="26"/>
      <c r="J20" s="26">
        <f>J21+J22+J30+J31+J32+J33+J34+J38+J39</f>
        <v>7275.7900000000009</v>
      </c>
      <c r="K20" s="26">
        <f>K21+K22+K30+K31+K32+K33+K34+K38+K39</f>
        <v>8410.2300000000014</v>
      </c>
      <c r="L20" s="26">
        <f t="shared" si="1"/>
        <v>1134.4400000000005</v>
      </c>
      <c r="M20" s="26"/>
      <c r="N20" s="26"/>
      <c r="O20" s="26">
        <f>O21+O22+O30+O31+O32+O33+O34+O38+O39</f>
        <v>7186.0700000000006</v>
      </c>
      <c r="P20" s="26">
        <f>P21+P22+P30+P31+P32+P33+P34+P38+P39</f>
        <v>5419.9969999999994</v>
      </c>
      <c r="Q20" s="26">
        <f t="shared" si="2"/>
        <v>-1766.0730000000012</v>
      </c>
      <c r="R20" s="26"/>
      <c r="S20" s="26"/>
      <c r="T20" s="26">
        <f>T21+T22+T30+T31+T32+T33+T34+T38+T39</f>
        <v>7239.9100000000008</v>
      </c>
      <c r="U20" s="26">
        <f>U21+U22+U30+U31+U32+U33+U34+U38+U39</f>
        <v>9235.137740000011</v>
      </c>
      <c r="V20" s="26">
        <f t="shared" si="3"/>
        <v>1995.2277400000103</v>
      </c>
      <c r="W20" s="26"/>
      <c r="X20" s="30"/>
      <c r="Y20" s="26">
        <f>Y21+Y22+Y30+Y31+Y32+Y33+Y34+Y38+Y39</f>
        <v>7387.5399999999991</v>
      </c>
      <c r="Z20" s="26">
        <f>Z21+Z22+Z30+Z31+Z32+Z33+Z34+Z38+Z39</f>
        <v>7723.8599999999988</v>
      </c>
      <c r="AA20" s="26">
        <f t="shared" si="4"/>
        <v>336.31999999999971</v>
      </c>
      <c r="AB20" s="26"/>
      <c r="AC20" s="30"/>
    </row>
    <row r="21" spans="2:29" x14ac:dyDescent="0.2">
      <c r="B21" s="15" t="s">
        <v>17</v>
      </c>
      <c r="C21" s="14" t="s">
        <v>18</v>
      </c>
      <c r="D21" s="4" t="s">
        <v>2</v>
      </c>
      <c r="E21" s="26">
        <v>2539.56</v>
      </c>
      <c r="F21" s="26">
        <v>2126.65</v>
      </c>
      <c r="G21" s="21">
        <f t="shared" si="0"/>
        <v>-412.90999999999985</v>
      </c>
      <c r="H21" s="21"/>
      <c r="I21" s="21"/>
      <c r="J21" s="26">
        <v>2721.62</v>
      </c>
      <c r="K21" s="26">
        <v>2829.74</v>
      </c>
      <c r="L21" s="21">
        <f t="shared" si="1"/>
        <v>108.11999999999989</v>
      </c>
      <c r="M21" s="21"/>
      <c r="N21" s="21"/>
      <c r="O21" s="26">
        <v>2771.57</v>
      </c>
      <c r="P21" s="26">
        <v>1870</v>
      </c>
      <c r="Q21" s="26">
        <f t="shared" si="2"/>
        <v>-901.57000000000016</v>
      </c>
      <c r="R21" s="26"/>
      <c r="S21" s="26"/>
      <c r="T21" s="26">
        <v>2796.51</v>
      </c>
      <c r="U21" s="26">
        <f>1002.3+136.366</f>
        <v>1138.6659999999999</v>
      </c>
      <c r="V21" s="21">
        <f t="shared" si="3"/>
        <v>-1657.8440000000003</v>
      </c>
      <c r="W21" s="21"/>
      <c r="X21" s="5"/>
      <c r="Y21" s="26">
        <v>2853.54</v>
      </c>
      <c r="Z21" s="26">
        <f>709.42</f>
        <v>709.42</v>
      </c>
      <c r="AA21" s="21">
        <f t="shared" si="4"/>
        <v>-2144.12</v>
      </c>
      <c r="AB21" s="21"/>
      <c r="AC21" s="5"/>
    </row>
    <row r="22" spans="2:29" s="31" customFormat="1" ht="22.5" x14ac:dyDescent="0.2">
      <c r="B22" s="27" t="s">
        <v>19</v>
      </c>
      <c r="C22" s="32" t="s">
        <v>27</v>
      </c>
      <c r="D22" s="29" t="s">
        <v>2</v>
      </c>
      <c r="E22" s="26">
        <f>E23+E24+E25+E26+E27+E28</f>
        <v>2760.1000000000004</v>
      </c>
      <c r="F22" s="26">
        <f>F23+F24+F25+F26+F27+F28</f>
        <v>3719.9850000000001</v>
      </c>
      <c r="G22" s="26">
        <f t="shared" si="0"/>
        <v>959.88499999999976</v>
      </c>
      <c r="H22" s="26"/>
      <c r="I22" s="26"/>
      <c r="J22" s="26">
        <f>J23+J24+J25+J26+J27+J28</f>
        <v>476.11</v>
      </c>
      <c r="K22" s="26">
        <f>K23+K24+K25+K26+K27+K28</f>
        <v>473.21000000000004</v>
      </c>
      <c r="L22" s="26">
        <f t="shared" si="1"/>
        <v>-2.8999999999999773</v>
      </c>
      <c r="M22" s="26"/>
      <c r="N22" s="26"/>
      <c r="O22" s="26">
        <f>O23+O24+O25+O26+O27+O28</f>
        <v>484.86</v>
      </c>
      <c r="P22" s="26">
        <f>P23+P24+P25+P26+P27+P28</f>
        <v>339.96000000000004</v>
      </c>
      <c r="Q22" s="26">
        <f t="shared" si="2"/>
        <v>-144.89999999999998</v>
      </c>
      <c r="R22" s="26"/>
      <c r="S22" s="26"/>
      <c r="T22" s="26">
        <f>T23+T24+T25+T26+T27+T28</f>
        <v>489.22</v>
      </c>
      <c r="U22" s="26">
        <f>U23+U24+U25+U26+U27+U28</f>
        <v>1687.29</v>
      </c>
      <c r="V22" s="26">
        <f t="shared" si="3"/>
        <v>1198.07</v>
      </c>
      <c r="W22" s="26"/>
      <c r="X22" s="30"/>
      <c r="Y22" s="26">
        <v>499.2</v>
      </c>
      <c r="Z22" s="26">
        <f>Z23+Z24+Z25+Z26+Z27+Z28</f>
        <v>1051.55</v>
      </c>
      <c r="AA22" s="26">
        <f t="shared" si="4"/>
        <v>552.34999999999991</v>
      </c>
      <c r="AB22" s="26"/>
      <c r="AC22" s="30"/>
    </row>
    <row r="23" spans="2:29" x14ac:dyDescent="0.2">
      <c r="B23" s="15" t="s">
        <v>20</v>
      </c>
      <c r="C23" s="16" t="s">
        <v>26</v>
      </c>
      <c r="D23" s="4" t="s">
        <v>2</v>
      </c>
      <c r="E23" s="26">
        <v>252.86</v>
      </c>
      <c r="F23" s="26">
        <v>187.26</v>
      </c>
      <c r="G23" s="21">
        <f t="shared" si="0"/>
        <v>-65.600000000000023</v>
      </c>
      <c r="H23" s="21"/>
      <c r="I23" s="21"/>
      <c r="J23" s="26">
        <v>270.99</v>
      </c>
      <c r="K23" s="26">
        <v>315.3</v>
      </c>
      <c r="L23" s="21">
        <f t="shared" si="1"/>
        <v>44.31</v>
      </c>
      <c r="M23" s="21"/>
      <c r="N23" s="21"/>
      <c r="O23" s="26">
        <v>275.97000000000003</v>
      </c>
      <c r="P23" s="26">
        <v>190.155</v>
      </c>
      <c r="Q23" s="26">
        <f t="shared" si="2"/>
        <v>-85.815000000000026</v>
      </c>
      <c r="R23" s="26"/>
      <c r="S23" s="26"/>
      <c r="T23" s="26">
        <v>278.45</v>
      </c>
      <c r="U23" s="26">
        <v>362</v>
      </c>
      <c r="V23" s="21">
        <f t="shared" si="3"/>
        <v>83.550000000000011</v>
      </c>
      <c r="W23" s="21"/>
      <c r="X23" s="5"/>
      <c r="Y23" s="26">
        <v>284.13</v>
      </c>
      <c r="Z23" s="26">
        <f>40.06+359.44</f>
        <v>399.5</v>
      </c>
      <c r="AA23" s="21">
        <f t="shared" si="4"/>
        <v>115.37</v>
      </c>
      <c r="AB23" s="21"/>
      <c r="AC23" s="5"/>
    </row>
    <row r="24" spans="2:29" ht="22.5" x14ac:dyDescent="0.2">
      <c r="B24" s="15" t="s">
        <v>35</v>
      </c>
      <c r="C24" s="16" t="s">
        <v>21</v>
      </c>
      <c r="D24" s="4" t="s">
        <v>2</v>
      </c>
      <c r="E24" s="26">
        <v>0</v>
      </c>
      <c r="F24" s="26">
        <v>0</v>
      </c>
      <c r="G24" s="21">
        <f t="shared" si="0"/>
        <v>0</v>
      </c>
      <c r="H24" s="21"/>
      <c r="I24" s="21"/>
      <c r="J24" s="26">
        <v>0</v>
      </c>
      <c r="K24" s="26">
        <v>0</v>
      </c>
      <c r="L24" s="21">
        <f t="shared" si="1"/>
        <v>0</v>
      </c>
      <c r="M24" s="21"/>
      <c r="N24" s="21"/>
      <c r="O24" s="26">
        <v>0</v>
      </c>
      <c r="P24" s="26">
        <v>0</v>
      </c>
      <c r="Q24" s="26">
        <f t="shared" si="2"/>
        <v>0</v>
      </c>
      <c r="R24" s="26"/>
      <c r="S24" s="26"/>
      <c r="T24" s="26">
        <v>0</v>
      </c>
      <c r="U24" s="26">
        <v>0</v>
      </c>
      <c r="V24" s="21">
        <f t="shared" si="3"/>
        <v>0</v>
      </c>
      <c r="W24" s="21"/>
      <c r="X24" s="5"/>
      <c r="Y24" s="26">
        <v>0</v>
      </c>
      <c r="Z24" s="26">
        <f>16.43+35.67</f>
        <v>52.1</v>
      </c>
      <c r="AA24" s="21">
        <f t="shared" si="4"/>
        <v>52.1</v>
      </c>
      <c r="AB24" s="21"/>
      <c r="AC24" s="5"/>
    </row>
    <row r="25" spans="2:29" ht="22.5" x14ac:dyDescent="0.2">
      <c r="B25" s="15" t="s">
        <v>36</v>
      </c>
      <c r="C25" s="16" t="s">
        <v>22</v>
      </c>
      <c r="D25" s="4" t="s">
        <v>2</v>
      </c>
      <c r="E25" s="26">
        <v>191.4</v>
      </c>
      <c r="F25" s="26">
        <v>250.03</v>
      </c>
      <c r="G25" s="21">
        <f t="shared" si="0"/>
        <v>58.629999999999995</v>
      </c>
      <c r="H25" s="21"/>
      <c r="I25" s="21"/>
      <c r="J25" s="26">
        <v>205.12</v>
      </c>
      <c r="K25" s="26">
        <v>157.91</v>
      </c>
      <c r="L25" s="21">
        <f t="shared" si="1"/>
        <v>-47.210000000000008</v>
      </c>
      <c r="M25" s="21"/>
      <c r="N25" s="21"/>
      <c r="O25" s="26">
        <v>208.89</v>
      </c>
      <c r="P25" s="26">
        <v>149.80500000000001</v>
      </c>
      <c r="Q25" s="26">
        <f t="shared" si="2"/>
        <v>-59.08499999999998</v>
      </c>
      <c r="R25" s="26"/>
      <c r="S25" s="26"/>
      <c r="T25" s="26">
        <v>210.77</v>
      </c>
      <c r="U25" s="26">
        <f>696.3+1.7+400.3</f>
        <v>1098.3</v>
      </c>
      <c r="V25" s="21">
        <f t="shared" si="3"/>
        <v>887.53</v>
      </c>
      <c r="W25" s="21"/>
      <c r="X25" s="5"/>
      <c r="Y25" s="26">
        <v>215.07</v>
      </c>
      <c r="Z25" s="26">
        <f>480.2+9.17</f>
        <v>489.37</v>
      </c>
      <c r="AA25" s="21">
        <f t="shared" si="4"/>
        <v>274.3</v>
      </c>
      <c r="AB25" s="21"/>
      <c r="AC25" s="5"/>
    </row>
    <row r="26" spans="2:29" ht="22.5" x14ac:dyDescent="0.2">
      <c r="B26" s="15" t="s">
        <v>37</v>
      </c>
      <c r="C26" s="16" t="s">
        <v>23</v>
      </c>
      <c r="D26" s="4" t="s">
        <v>2</v>
      </c>
      <c r="E26" s="26">
        <v>0</v>
      </c>
      <c r="F26" s="26">
        <v>0</v>
      </c>
      <c r="G26" s="21">
        <f t="shared" si="0"/>
        <v>0</v>
      </c>
      <c r="H26" s="21"/>
      <c r="I26" s="21"/>
      <c r="J26" s="26">
        <v>0</v>
      </c>
      <c r="K26" s="26">
        <v>0</v>
      </c>
      <c r="L26" s="21">
        <f t="shared" si="1"/>
        <v>0</v>
      </c>
      <c r="M26" s="21"/>
      <c r="N26" s="21"/>
      <c r="O26" s="26">
        <v>0</v>
      </c>
      <c r="P26" s="26">
        <v>0</v>
      </c>
      <c r="Q26" s="26">
        <f t="shared" si="2"/>
        <v>0</v>
      </c>
      <c r="R26" s="26"/>
      <c r="S26" s="26"/>
      <c r="T26" s="26">
        <v>0</v>
      </c>
      <c r="U26" s="26">
        <v>78.900000000000006</v>
      </c>
      <c r="V26" s="21">
        <f t="shared" si="3"/>
        <v>78.900000000000006</v>
      </c>
      <c r="W26" s="21"/>
      <c r="X26" s="5"/>
      <c r="Y26" s="26">
        <v>0</v>
      </c>
      <c r="Z26" s="26">
        <v>88.67</v>
      </c>
      <c r="AA26" s="21">
        <f t="shared" si="4"/>
        <v>88.67</v>
      </c>
      <c r="AB26" s="21"/>
      <c r="AC26" s="5"/>
    </row>
    <row r="27" spans="2:29" x14ac:dyDescent="0.2">
      <c r="B27" s="15" t="s">
        <v>38</v>
      </c>
      <c r="C27" s="16" t="s">
        <v>24</v>
      </c>
      <c r="D27" s="4" t="s">
        <v>2</v>
      </c>
      <c r="E27" s="26">
        <v>0</v>
      </c>
      <c r="F27" s="26">
        <v>0</v>
      </c>
      <c r="G27" s="21">
        <f t="shared" si="0"/>
        <v>0</v>
      </c>
      <c r="H27" s="21"/>
      <c r="I27" s="21"/>
      <c r="J27" s="26">
        <v>0</v>
      </c>
      <c r="K27" s="26">
        <v>0</v>
      </c>
      <c r="L27" s="21">
        <f t="shared" si="1"/>
        <v>0</v>
      </c>
      <c r="M27" s="21"/>
      <c r="N27" s="21"/>
      <c r="O27" s="26">
        <v>0</v>
      </c>
      <c r="P27" s="26">
        <v>0</v>
      </c>
      <c r="Q27" s="26">
        <f t="shared" si="2"/>
        <v>0</v>
      </c>
      <c r="R27" s="26"/>
      <c r="S27" s="26"/>
      <c r="T27" s="26">
        <v>0</v>
      </c>
      <c r="U27" s="26">
        <v>148.09</v>
      </c>
      <c r="V27" s="21">
        <f t="shared" si="3"/>
        <v>148.09</v>
      </c>
      <c r="W27" s="21"/>
      <c r="X27" s="5"/>
      <c r="Y27" s="26">
        <v>0</v>
      </c>
      <c r="Z27" s="26">
        <f>11.06</f>
        <v>11.06</v>
      </c>
      <c r="AA27" s="21">
        <f t="shared" si="4"/>
        <v>11.06</v>
      </c>
      <c r="AB27" s="21"/>
      <c r="AC27" s="5"/>
    </row>
    <row r="28" spans="2:29" x14ac:dyDescent="0.2">
      <c r="B28" s="15" t="s">
        <v>39</v>
      </c>
      <c r="C28" s="16" t="s">
        <v>25</v>
      </c>
      <c r="D28" s="4" t="s">
        <v>2</v>
      </c>
      <c r="E28" s="26">
        <v>2315.84</v>
      </c>
      <c r="F28" s="26">
        <v>3282.6950000000002</v>
      </c>
      <c r="G28" s="21">
        <f t="shared" si="0"/>
        <v>966.85500000000002</v>
      </c>
      <c r="H28" s="21"/>
      <c r="I28" s="21"/>
      <c r="J28" s="26">
        <v>0</v>
      </c>
      <c r="K28" s="26">
        <v>0</v>
      </c>
      <c r="L28" s="21">
        <f t="shared" si="1"/>
        <v>0</v>
      </c>
      <c r="M28" s="21"/>
      <c r="N28" s="21"/>
      <c r="O28" s="26">
        <v>0</v>
      </c>
      <c r="P28" s="26">
        <v>0</v>
      </c>
      <c r="Q28" s="26">
        <f t="shared" si="2"/>
        <v>0</v>
      </c>
      <c r="R28" s="26"/>
      <c r="S28" s="26"/>
      <c r="T28" s="26">
        <v>0</v>
      </c>
      <c r="U28" s="26">
        <v>0</v>
      </c>
      <c r="V28" s="21">
        <f t="shared" si="3"/>
        <v>0</v>
      </c>
      <c r="W28" s="21"/>
      <c r="X28" s="5"/>
      <c r="Y28" s="26">
        <v>0</v>
      </c>
      <c r="Z28" s="26">
        <f>10.85</f>
        <v>10.85</v>
      </c>
      <c r="AA28" s="21">
        <f t="shared" si="4"/>
        <v>10.85</v>
      </c>
      <c r="AB28" s="21"/>
      <c r="AC28" s="5"/>
    </row>
    <row r="29" spans="2:29" hidden="1" x14ac:dyDescent="0.2">
      <c r="B29" s="15" t="s">
        <v>3</v>
      </c>
      <c r="C29" s="25" t="s">
        <v>10</v>
      </c>
      <c r="D29" s="4" t="s">
        <v>2</v>
      </c>
      <c r="E29" s="23"/>
      <c r="F29" s="23"/>
      <c r="G29" s="21">
        <f t="shared" si="0"/>
        <v>0</v>
      </c>
      <c r="H29" s="21"/>
      <c r="I29" s="21"/>
      <c r="J29" s="23"/>
      <c r="K29" s="23"/>
      <c r="L29" s="21">
        <f t="shared" si="1"/>
        <v>0</v>
      </c>
      <c r="M29" s="21"/>
      <c r="N29" s="21"/>
      <c r="O29" s="26">
        <v>0</v>
      </c>
      <c r="P29" s="26">
        <v>0</v>
      </c>
      <c r="Q29" s="26">
        <f t="shared" si="2"/>
        <v>0</v>
      </c>
      <c r="R29" s="26"/>
      <c r="S29" s="26"/>
      <c r="T29" s="26">
        <v>0</v>
      </c>
      <c r="U29" s="23"/>
      <c r="V29" s="21">
        <f t="shared" si="3"/>
        <v>0</v>
      </c>
      <c r="W29" s="21"/>
      <c r="X29" s="5"/>
      <c r="Y29" s="26">
        <v>0</v>
      </c>
      <c r="Z29" s="23"/>
      <c r="AA29" s="21">
        <f t="shared" si="4"/>
        <v>0</v>
      </c>
      <c r="AB29" s="21"/>
      <c r="AC29" s="5"/>
    </row>
    <row r="30" spans="2:29" ht="22.5" x14ac:dyDescent="0.2">
      <c r="B30" s="15" t="s">
        <v>40</v>
      </c>
      <c r="C30" s="14" t="s">
        <v>28</v>
      </c>
      <c r="D30" s="4" t="s">
        <v>2</v>
      </c>
      <c r="E30" s="26">
        <v>31.41</v>
      </c>
      <c r="F30" s="26">
        <v>44.47</v>
      </c>
      <c r="G30" s="21">
        <f t="shared" si="0"/>
        <v>13.059999999999999</v>
      </c>
      <c r="H30" s="21"/>
      <c r="I30" s="21"/>
      <c r="J30" s="26">
        <v>33.67</v>
      </c>
      <c r="K30" s="26">
        <v>13.67</v>
      </c>
      <c r="L30" s="21">
        <f t="shared" si="1"/>
        <v>-20</v>
      </c>
      <c r="M30" s="21"/>
      <c r="N30" s="21"/>
      <c r="O30" s="26">
        <v>34.28</v>
      </c>
      <c r="P30" s="26">
        <v>13.635</v>
      </c>
      <c r="Q30" s="26">
        <f t="shared" si="2"/>
        <v>-20.645000000000003</v>
      </c>
      <c r="R30" s="26"/>
      <c r="S30" s="26"/>
      <c r="T30" s="26">
        <v>34.590000000000003</v>
      </c>
      <c r="U30" s="26">
        <v>90.2</v>
      </c>
      <c r="V30" s="21">
        <f t="shared" si="3"/>
        <v>55.61</v>
      </c>
      <c r="W30" s="21"/>
      <c r="X30" s="5"/>
      <c r="Y30" s="26">
        <v>35.29</v>
      </c>
      <c r="Z30" s="26">
        <f>10.02+1.39</f>
        <v>11.41</v>
      </c>
      <c r="AA30" s="21">
        <f t="shared" si="4"/>
        <v>-23.88</v>
      </c>
      <c r="AB30" s="21"/>
      <c r="AC30" s="5"/>
    </row>
    <row r="31" spans="2:29" x14ac:dyDescent="0.2">
      <c r="B31" s="15" t="s">
        <v>41</v>
      </c>
      <c r="C31" s="14" t="s">
        <v>29</v>
      </c>
      <c r="D31" s="4" t="s">
        <v>2</v>
      </c>
      <c r="E31" s="26">
        <v>78.52</v>
      </c>
      <c r="F31" s="26">
        <v>98.45</v>
      </c>
      <c r="G31" s="21">
        <f t="shared" si="0"/>
        <v>19.930000000000007</v>
      </c>
      <c r="H31" s="21"/>
      <c r="I31" s="21"/>
      <c r="J31" s="26">
        <v>84.15</v>
      </c>
      <c r="K31" s="26">
        <v>43.8</v>
      </c>
      <c r="L31" s="21">
        <f t="shared" si="1"/>
        <v>-40.350000000000009</v>
      </c>
      <c r="M31" s="21"/>
      <c r="N31" s="21"/>
      <c r="O31" s="26">
        <v>55.14</v>
      </c>
      <c r="P31" s="26">
        <v>55.454999999999998</v>
      </c>
      <c r="Q31" s="26">
        <f t="shared" si="2"/>
        <v>0.31499999999999773</v>
      </c>
      <c r="R31" s="26"/>
      <c r="S31" s="26"/>
      <c r="T31" s="26">
        <v>55.64</v>
      </c>
      <c r="U31" s="26">
        <f>134.7+72</f>
        <v>206.7</v>
      </c>
      <c r="V31" s="21">
        <f t="shared" si="3"/>
        <v>151.06</v>
      </c>
      <c r="W31" s="21"/>
      <c r="X31" s="5"/>
      <c r="Y31" s="26">
        <v>56.77</v>
      </c>
      <c r="Z31" s="26">
        <f>59.52+4+28.52</f>
        <v>92.04</v>
      </c>
      <c r="AA31" s="21">
        <f t="shared" si="4"/>
        <v>35.270000000000003</v>
      </c>
      <c r="AB31" s="21"/>
      <c r="AC31" s="5"/>
    </row>
    <row r="32" spans="2:29" ht="33.75" x14ac:dyDescent="0.2">
      <c r="B32" s="15" t="s">
        <v>42</v>
      </c>
      <c r="C32" s="14" t="s">
        <v>30</v>
      </c>
      <c r="D32" s="4" t="s">
        <v>2</v>
      </c>
      <c r="E32" s="26">
        <v>250.02</v>
      </c>
      <c r="F32" s="26">
        <v>294.66000000000003</v>
      </c>
      <c r="G32" s="21">
        <f t="shared" si="0"/>
        <v>44.640000000000015</v>
      </c>
      <c r="H32" s="21"/>
      <c r="I32" s="21"/>
      <c r="J32" s="26">
        <v>267.94</v>
      </c>
      <c r="K32" s="26">
        <v>575.51</v>
      </c>
      <c r="L32" s="21">
        <f t="shared" si="1"/>
        <v>307.57</v>
      </c>
      <c r="M32" s="21"/>
      <c r="N32" s="21"/>
      <c r="O32" s="26">
        <v>272.86</v>
      </c>
      <c r="P32" s="26">
        <v>970.70500000000004</v>
      </c>
      <c r="Q32" s="26">
        <f t="shared" si="2"/>
        <v>697.84500000000003</v>
      </c>
      <c r="R32" s="26"/>
      <c r="S32" s="26"/>
      <c r="T32" s="26">
        <v>275.32</v>
      </c>
      <c r="U32" s="26">
        <f>239.3+65.3</f>
        <v>304.60000000000002</v>
      </c>
      <c r="V32" s="21">
        <f t="shared" si="3"/>
        <v>29.28000000000003</v>
      </c>
      <c r="W32" s="21"/>
      <c r="X32" s="5"/>
      <c r="Y32" s="26">
        <v>280.93</v>
      </c>
      <c r="Z32" s="26">
        <f>244.2+70.95</f>
        <v>315.14999999999998</v>
      </c>
      <c r="AA32" s="21">
        <f t="shared" si="4"/>
        <v>34.21999999999997</v>
      </c>
      <c r="AB32" s="21"/>
      <c r="AC32" s="5"/>
    </row>
    <row r="33" spans="2:29" x14ac:dyDescent="0.2">
      <c r="B33" s="15" t="s">
        <v>43</v>
      </c>
      <c r="C33" s="14" t="s">
        <v>31</v>
      </c>
      <c r="D33" s="4" t="s">
        <v>2</v>
      </c>
      <c r="E33" s="26">
        <v>186.15</v>
      </c>
      <c r="F33" s="26">
        <v>92.92</v>
      </c>
      <c r="G33" s="21">
        <f t="shared" si="0"/>
        <v>-93.23</v>
      </c>
      <c r="H33" s="21"/>
      <c r="I33" s="21"/>
      <c r="J33" s="26">
        <v>199.5</v>
      </c>
      <c r="K33" s="26">
        <v>96.19</v>
      </c>
      <c r="L33" s="21">
        <f t="shared" si="1"/>
        <v>-103.31</v>
      </c>
      <c r="M33" s="21"/>
      <c r="N33" s="21"/>
      <c r="O33" s="26">
        <v>203.16</v>
      </c>
      <c r="P33" s="26">
        <v>82.084999999999994</v>
      </c>
      <c r="Q33" s="26">
        <f t="shared" si="2"/>
        <v>-121.075</v>
      </c>
      <c r="R33" s="26"/>
      <c r="S33" s="26"/>
      <c r="T33" s="26">
        <v>204.99</v>
      </c>
      <c r="U33" s="26">
        <f>63.8+3.1</f>
        <v>66.899999999999991</v>
      </c>
      <c r="V33" s="21">
        <f t="shared" si="3"/>
        <v>-138.09000000000003</v>
      </c>
      <c r="W33" s="21"/>
      <c r="X33" s="5"/>
      <c r="Y33" s="26">
        <v>209.17</v>
      </c>
      <c r="Z33" s="26">
        <f>56.65+3.14+7.46</f>
        <v>67.25</v>
      </c>
      <c r="AA33" s="21">
        <f t="shared" si="4"/>
        <v>-141.91999999999999</v>
      </c>
      <c r="AB33" s="21"/>
      <c r="AC33" s="5"/>
    </row>
    <row r="34" spans="2:29" x14ac:dyDescent="0.2">
      <c r="B34" s="15" t="s">
        <v>44</v>
      </c>
      <c r="C34" s="14" t="s">
        <v>32</v>
      </c>
      <c r="D34" s="4" t="s">
        <v>2</v>
      </c>
      <c r="E34" s="26">
        <v>0</v>
      </c>
      <c r="F34" s="26">
        <v>0</v>
      </c>
      <c r="G34" s="21">
        <f t="shared" si="0"/>
        <v>0</v>
      </c>
      <c r="H34" s="21"/>
      <c r="I34" s="21"/>
      <c r="J34" s="26">
        <v>2022.78</v>
      </c>
      <c r="K34" s="26">
        <v>3525.83</v>
      </c>
      <c r="L34" s="21">
        <f t="shared" si="1"/>
        <v>1503.05</v>
      </c>
      <c r="M34" s="21"/>
      <c r="N34" s="21"/>
      <c r="O34" s="26">
        <v>1867.2</v>
      </c>
      <c r="P34" s="26">
        <v>923.45799999999997</v>
      </c>
      <c r="Q34" s="26">
        <f t="shared" si="2"/>
        <v>-943.74200000000008</v>
      </c>
      <c r="R34" s="26"/>
      <c r="S34" s="26"/>
      <c r="T34" s="26">
        <v>1873.17</v>
      </c>
      <c r="U34" s="26">
        <v>2765.8817400000116</v>
      </c>
      <c r="V34" s="21">
        <f t="shared" si="3"/>
        <v>892.71174000001156</v>
      </c>
      <c r="W34" s="21"/>
      <c r="X34" s="5"/>
      <c r="Y34" s="26">
        <v>1911.37</v>
      </c>
      <c r="Z34" s="26">
        <f>Z35+Z36+Z37</f>
        <v>1899.0699999999997</v>
      </c>
      <c r="AA34" s="21">
        <f t="shared" si="4"/>
        <v>-12.300000000000182</v>
      </c>
      <c r="AB34" s="21"/>
      <c r="AC34" s="5"/>
    </row>
    <row r="35" spans="2:29" x14ac:dyDescent="0.2">
      <c r="B35" s="15"/>
      <c r="C35" s="16" t="s">
        <v>122</v>
      </c>
      <c r="D35" s="4" t="s">
        <v>2</v>
      </c>
      <c r="E35" s="26">
        <v>0</v>
      </c>
      <c r="F35" s="26">
        <v>0</v>
      </c>
      <c r="G35" s="21">
        <f t="shared" si="0"/>
        <v>0</v>
      </c>
      <c r="H35" s="21"/>
      <c r="I35" s="21"/>
      <c r="J35" s="26">
        <v>400</v>
      </c>
      <c r="K35" s="26">
        <f>65+276.83</f>
        <v>341.83</v>
      </c>
      <c r="L35" s="21">
        <f t="shared" si="1"/>
        <v>-58.170000000000016</v>
      </c>
      <c r="M35" s="21"/>
      <c r="N35" s="21"/>
      <c r="O35" s="26">
        <v>400</v>
      </c>
      <c r="P35" s="26">
        <f>305.34+82.54</f>
        <v>387.88</v>
      </c>
      <c r="Q35" s="26">
        <f t="shared" si="2"/>
        <v>-12.120000000000005</v>
      </c>
      <c r="R35" s="26"/>
      <c r="S35" s="26"/>
      <c r="T35" s="26">
        <v>350</v>
      </c>
      <c r="U35" s="26">
        <f>79+271.8</f>
        <v>350.8</v>
      </c>
      <c r="V35" s="21">
        <f t="shared" si="3"/>
        <v>0.80000000000001137</v>
      </c>
      <c r="W35" s="21"/>
      <c r="X35" s="5"/>
      <c r="Y35" s="26">
        <v>350</v>
      </c>
      <c r="Z35" s="26">
        <f>371.76+123.91+61.19</f>
        <v>556.8599999999999</v>
      </c>
      <c r="AA35" s="21">
        <f t="shared" si="4"/>
        <v>206.8599999999999</v>
      </c>
      <c r="AB35" s="21"/>
      <c r="AC35" s="5"/>
    </row>
    <row r="36" spans="2:29" x14ac:dyDescent="0.2">
      <c r="B36" s="15"/>
      <c r="C36" s="16" t="s">
        <v>123</v>
      </c>
      <c r="D36" s="4" t="s">
        <v>2</v>
      </c>
      <c r="E36" s="26">
        <v>0</v>
      </c>
      <c r="F36" s="26">
        <v>0</v>
      </c>
      <c r="G36" s="21">
        <f t="shared" si="0"/>
        <v>0</v>
      </c>
      <c r="H36" s="21"/>
      <c r="I36" s="21"/>
      <c r="J36" s="26">
        <v>300</v>
      </c>
      <c r="K36" s="26">
        <f>192.33+82.15</f>
        <v>274.48</v>
      </c>
      <c r="L36" s="21">
        <f t="shared" si="1"/>
        <v>-25.519999999999982</v>
      </c>
      <c r="M36" s="21"/>
      <c r="N36" s="21"/>
      <c r="O36" s="26">
        <v>550</v>
      </c>
      <c r="P36" s="26">
        <f>431.15+6.07+79.66</f>
        <v>516.88</v>
      </c>
      <c r="Q36" s="26">
        <f t="shared" si="2"/>
        <v>-33.120000000000005</v>
      </c>
      <c r="R36" s="26"/>
      <c r="S36" s="26"/>
      <c r="T36" s="26">
        <v>310</v>
      </c>
      <c r="U36" s="26">
        <f>243.2+65.3</f>
        <v>308.5</v>
      </c>
      <c r="V36" s="21">
        <f t="shared" si="3"/>
        <v>-1.5</v>
      </c>
      <c r="W36" s="21"/>
      <c r="X36" s="5"/>
      <c r="Y36" s="26">
        <v>310</v>
      </c>
      <c r="Z36" s="26">
        <f>132.5+246.16</f>
        <v>378.65999999999997</v>
      </c>
      <c r="AA36" s="21">
        <f t="shared" si="4"/>
        <v>68.659999999999968</v>
      </c>
      <c r="AB36" s="21"/>
      <c r="AC36" s="5"/>
    </row>
    <row r="37" spans="2:29" x14ac:dyDescent="0.2">
      <c r="B37" s="15" t="s">
        <v>3</v>
      </c>
      <c r="C37" s="33" t="s">
        <v>124</v>
      </c>
      <c r="D37" s="4" t="s">
        <v>2</v>
      </c>
      <c r="E37" s="26">
        <v>0</v>
      </c>
      <c r="F37" s="26">
        <v>0</v>
      </c>
      <c r="G37" s="21">
        <f t="shared" si="0"/>
        <v>0</v>
      </c>
      <c r="H37" s="21"/>
      <c r="I37" s="21"/>
      <c r="J37" s="26">
        <f>J34-J35-J36</f>
        <v>1322.78</v>
      </c>
      <c r="K37" s="26">
        <f>K34-K35-K36</f>
        <v>2909.52</v>
      </c>
      <c r="L37" s="21">
        <f t="shared" si="1"/>
        <v>1586.74</v>
      </c>
      <c r="M37" s="21"/>
      <c r="N37" s="21"/>
      <c r="O37" s="26">
        <f>O34-O35-O36</f>
        <v>917.2</v>
      </c>
      <c r="P37" s="26">
        <f>P34-P35-P36</f>
        <v>18.697999999999979</v>
      </c>
      <c r="Q37" s="21">
        <f t="shared" si="2"/>
        <v>-898.50200000000007</v>
      </c>
      <c r="R37" s="21"/>
      <c r="S37" s="21"/>
      <c r="T37" s="26">
        <f>T34-T35-T36</f>
        <v>1213.17</v>
      </c>
      <c r="U37" s="26">
        <f>U34-U35-U36</f>
        <v>2106.5817400000115</v>
      </c>
      <c r="V37" s="21">
        <f t="shared" si="3"/>
        <v>893.41174000001138</v>
      </c>
      <c r="W37" s="21"/>
      <c r="X37" s="5"/>
      <c r="Y37" s="26">
        <f>Y34-Y35-Y36</f>
        <v>1251.3699999999999</v>
      </c>
      <c r="Z37" s="26">
        <f>1.88+53.4+41.49+600.51+1.51+13.42+27.4+143.84+6.81+54.03+19.26</f>
        <v>963.54999999999984</v>
      </c>
      <c r="AA37" s="21">
        <f t="shared" si="4"/>
        <v>-287.82000000000005</v>
      </c>
      <c r="AB37" s="21"/>
      <c r="AC37" s="5"/>
    </row>
    <row r="38" spans="2:29" x14ac:dyDescent="0.2">
      <c r="B38" s="15" t="s">
        <v>45</v>
      </c>
      <c r="C38" s="14" t="s">
        <v>34</v>
      </c>
      <c r="D38" s="4" t="s">
        <v>2</v>
      </c>
      <c r="E38" s="26">
        <v>1371.68</v>
      </c>
      <c r="F38" s="26">
        <v>1739.92</v>
      </c>
      <c r="G38" s="21">
        <f t="shared" si="0"/>
        <v>368.24</v>
      </c>
      <c r="H38" s="21"/>
      <c r="I38" s="21"/>
      <c r="J38" s="26">
        <v>1470.02</v>
      </c>
      <c r="K38" s="26">
        <v>852.28</v>
      </c>
      <c r="L38" s="21">
        <f t="shared" si="1"/>
        <v>-617.74</v>
      </c>
      <c r="M38" s="21"/>
      <c r="N38" s="21"/>
      <c r="O38" s="26">
        <v>1497</v>
      </c>
      <c r="P38" s="26">
        <v>1164.6990000000001</v>
      </c>
      <c r="Q38" s="26">
        <f t="shared" si="2"/>
        <v>-332.30099999999993</v>
      </c>
      <c r="R38" s="26"/>
      <c r="S38" s="26"/>
      <c r="T38" s="26">
        <v>1510.47</v>
      </c>
      <c r="U38" s="26">
        <v>2974.9</v>
      </c>
      <c r="V38" s="21">
        <f t="shared" si="3"/>
        <v>1464.43</v>
      </c>
      <c r="W38" s="21"/>
      <c r="X38" s="5"/>
      <c r="Y38" s="26">
        <v>1541.27</v>
      </c>
      <c r="Z38" s="26">
        <v>3577.97</v>
      </c>
      <c r="AA38" s="21">
        <f t="shared" si="4"/>
        <v>2036.6999999999998</v>
      </c>
      <c r="AB38" s="21"/>
      <c r="AC38" s="5"/>
    </row>
    <row r="39" spans="2:29" x14ac:dyDescent="0.2">
      <c r="B39" s="15" t="s">
        <v>46</v>
      </c>
      <c r="C39" s="14" t="s">
        <v>33</v>
      </c>
      <c r="D39" s="4" t="s">
        <v>2</v>
      </c>
      <c r="E39" s="26">
        <v>0</v>
      </c>
      <c r="F39" s="26">
        <v>0</v>
      </c>
      <c r="G39" s="21">
        <f t="shared" si="0"/>
        <v>0</v>
      </c>
      <c r="H39" s="21"/>
      <c r="I39" s="21"/>
      <c r="J39" s="26">
        <v>0</v>
      </c>
      <c r="K39" s="26">
        <v>0</v>
      </c>
      <c r="L39" s="21">
        <f t="shared" si="1"/>
        <v>0</v>
      </c>
      <c r="M39" s="21"/>
      <c r="N39" s="21"/>
      <c r="O39" s="26">
        <v>0</v>
      </c>
      <c r="P39" s="26">
        <v>0</v>
      </c>
      <c r="Q39" s="26">
        <f t="shared" si="2"/>
        <v>0</v>
      </c>
      <c r="R39" s="26"/>
      <c r="S39" s="26"/>
      <c r="T39" s="26">
        <v>0</v>
      </c>
      <c r="U39" s="26">
        <v>0</v>
      </c>
      <c r="V39" s="21">
        <f t="shared" si="3"/>
        <v>0</v>
      </c>
      <c r="W39" s="21"/>
      <c r="X39" s="5"/>
      <c r="Y39" s="26">
        <v>0</v>
      </c>
      <c r="Z39" s="26">
        <v>0</v>
      </c>
      <c r="AA39" s="21">
        <f t="shared" si="4"/>
        <v>0</v>
      </c>
      <c r="AB39" s="21"/>
      <c r="AC39" s="5"/>
    </row>
    <row r="40" spans="2:29" hidden="1" x14ac:dyDescent="0.2">
      <c r="B40" s="15" t="s">
        <v>3</v>
      </c>
      <c r="C40" s="25" t="s">
        <v>10</v>
      </c>
      <c r="D40" s="4" t="s">
        <v>2</v>
      </c>
      <c r="E40" s="23"/>
      <c r="F40" s="23"/>
      <c r="G40" s="21">
        <f t="shared" si="0"/>
        <v>0</v>
      </c>
      <c r="H40" s="21"/>
      <c r="I40" s="21"/>
      <c r="J40" s="23"/>
      <c r="K40" s="23"/>
      <c r="L40" s="21">
        <f t="shared" si="1"/>
        <v>0</v>
      </c>
      <c r="M40" s="21"/>
      <c r="N40" s="21"/>
      <c r="O40" s="26">
        <v>0</v>
      </c>
      <c r="P40" s="26">
        <v>0</v>
      </c>
      <c r="Q40" s="26">
        <f t="shared" si="2"/>
        <v>0</v>
      </c>
      <c r="R40" s="26"/>
      <c r="S40" s="26"/>
      <c r="T40" s="26">
        <v>0</v>
      </c>
      <c r="U40" s="23"/>
      <c r="V40" s="21">
        <f t="shared" si="3"/>
        <v>0</v>
      </c>
      <c r="W40" s="21"/>
      <c r="X40" s="5"/>
      <c r="Y40" s="26">
        <v>0</v>
      </c>
      <c r="Z40" s="23"/>
      <c r="AA40" s="21">
        <f t="shared" si="4"/>
        <v>0</v>
      </c>
      <c r="AB40" s="21"/>
      <c r="AC40" s="5"/>
    </row>
    <row r="41" spans="2:29" x14ac:dyDescent="0.2">
      <c r="B41" s="17">
        <v>2</v>
      </c>
      <c r="C41" s="11" t="s">
        <v>47</v>
      </c>
      <c r="D41" s="12" t="s">
        <v>2</v>
      </c>
      <c r="E41" s="20">
        <f>E42+E43+E44+E46+E52+E53+E57+E58+E59+E60+E61</f>
        <v>10847.06</v>
      </c>
      <c r="F41" s="20">
        <f>F42+F43+F44+F46+F52+F53+F57+F58+F59+F60+F61</f>
        <v>12273.575000000001</v>
      </c>
      <c r="G41" s="20">
        <f t="shared" si="0"/>
        <v>1426.5150000000012</v>
      </c>
      <c r="H41" s="20"/>
      <c r="I41" s="20"/>
      <c r="J41" s="20">
        <f>J42+J43+J44+J46+J52+J53+J57+J58+J59+J60+J61</f>
        <v>19990.95</v>
      </c>
      <c r="K41" s="20">
        <f>K42+K43+K44+K46+K52+K53+K57+K58+K59+K60+K61</f>
        <v>16455.95</v>
      </c>
      <c r="L41" s="20">
        <f t="shared" si="1"/>
        <v>-3535</v>
      </c>
      <c r="M41" s="20"/>
      <c r="N41" s="20"/>
      <c r="O41" s="20">
        <f>O42+O43+O44+O46+O52+O53+O57+O58+O59+O60+O61</f>
        <v>19322.490000000002</v>
      </c>
      <c r="P41" s="20">
        <f>P42+P43+P44+P46+P52+P53+P57+P58+P59+P60+P61</f>
        <v>24059.034</v>
      </c>
      <c r="Q41" s="20">
        <f t="shared" si="2"/>
        <v>4736.5439999999981</v>
      </c>
      <c r="R41" s="20"/>
      <c r="S41" s="20"/>
      <c r="T41" s="20">
        <f>T42+T43+T44+T46+T52+T53+T57+T58+T59+T60+T61</f>
        <v>35925.54</v>
      </c>
      <c r="U41" s="20">
        <f>U42+U43+U44+U46+U52+U53+U57+U58+U59+U60+U61</f>
        <v>43750.771130000001</v>
      </c>
      <c r="V41" s="20">
        <f t="shared" si="3"/>
        <v>7825.2311300000001</v>
      </c>
      <c r="W41" s="20"/>
      <c r="X41" s="13"/>
      <c r="Y41" s="20">
        <f>Y42+Y43+Y44+Y46+Y52+Y53+Y57+Y58+Y59+Y60+Y61</f>
        <v>35209.949999999997</v>
      </c>
      <c r="Z41" s="20">
        <f>Z42+Z43+Z44+Z46+Z52+Z53+Z57+Z58+Z59+Z60+Z61</f>
        <v>41800.049889999995</v>
      </c>
      <c r="AA41" s="20">
        <f t="shared" si="4"/>
        <v>6590.0998899999977</v>
      </c>
      <c r="AB41" s="20"/>
      <c r="AC41" s="13"/>
    </row>
    <row r="42" spans="2:29" x14ac:dyDescent="0.2">
      <c r="B42" s="15" t="s">
        <v>48</v>
      </c>
      <c r="C42" s="5" t="s">
        <v>49</v>
      </c>
      <c r="D42" s="4" t="s">
        <v>2</v>
      </c>
      <c r="E42" s="26">
        <v>0</v>
      </c>
      <c r="F42" s="26">
        <v>0</v>
      </c>
      <c r="G42" s="26">
        <f t="shared" si="0"/>
        <v>0</v>
      </c>
      <c r="H42" s="26"/>
      <c r="I42" s="26"/>
      <c r="J42" s="26">
        <v>0</v>
      </c>
      <c r="K42" s="26">
        <v>0</v>
      </c>
      <c r="L42" s="21">
        <f t="shared" si="1"/>
        <v>0</v>
      </c>
      <c r="M42" s="21"/>
      <c r="N42" s="21"/>
      <c r="O42" s="26">
        <v>0</v>
      </c>
      <c r="P42" s="26">
        <v>0</v>
      </c>
      <c r="Q42" s="26">
        <f t="shared" si="2"/>
        <v>0</v>
      </c>
      <c r="R42" s="26"/>
      <c r="S42" s="26"/>
      <c r="T42" s="26">
        <v>0</v>
      </c>
      <c r="U42" s="26">
        <v>0</v>
      </c>
      <c r="V42" s="21">
        <f t="shared" si="3"/>
        <v>0</v>
      </c>
      <c r="W42" s="21"/>
      <c r="X42" s="5"/>
      <c r="Y42" s="26">
        <v>0</v>
      </c>
      <c r="Z42" s="26">
        <v>0</v>
      </c>
      <c r="AA42" s="21">
        <f t="shared" si="4"/>
        <v>0</v>
      </c>
      <c r="AB42" s="21"/>
      <c r="AC42" s="5"/>
    </row>
    <row r="43" spans="2:29" x14ac:dyDescent="0.2">
      <c r="B43" s="15" t="s">
        <v>58</v>
      </c>
      <c r="C43" s="5" t="s">
        <v>50</v>
      </c>
      <c r="D43" s="4" t="s">
        <v>2</v>
      </c>
      <c r="E43" s="26">
        <v>85.86</v>
      </c>
      <c r="F43" s="26">
        <v>0</v>
      </c>
      <c r="G43" s="21">
        <f t="shared" si="0"/>
        <v>-85.86</v>
      </c>
      <c r="H43" s="21"/>
      <c r="I43" s="21"/>
      <c r="J43" s="26">
        <v>93.42</v>
      </c>
      <c r="K43" s="26">
        <v>0</v>
      </c>
      <c r="L43" s="21">
        <f t="shared" si="1"/>
        <v>-93.42</v>
      </c>
      <c r="M43" s="21"/>
      <c r="N43" s="21"/>
      <c r="O43" s="26">
        <v>0</v>
      </c>
      <c r="P43" s="26">
        <v>0</v>
      </c>
      <c r="Q43" s="26">
        <f t="shared" si="2"/>
        <v>0</v>
      </c>
      <c r="R43" s="26"/>
      <c r="S43" s="26"/>
      <c r="T43" s="26">
        <v>0</v>
      </c>
      <c r="U43" s="26">
        <v>0</v>
      </c>
      <c r="V43" s="21">
        <f t="shared" si="3"/>
        <v>0</v>
      </c>
      <c r="W43" s="21"/>
      <c r="X43" s="5"/>
      <c r="Y43" s="26">
        <v>0</v>
      </c>
      <c r="Z43" s="26">
        <v>0</v>
      </c>
      <c r="AA43" s="21">
        <f t="shared" si="4"/>
        <v>0</v>
      </c>
      <c r="AB43" s="21"/>
      <c r="AC43" s="5"/>
    </row>
    <row r="44" spans="2:29" x14ac:dyDescent="0.2">
      <c r="B44" s="15" t="s">
        <v>59</v>
      </c>
      <c r="C44" s="5" t="s">
        <v>51</v>
      </c>
      <c r="D44" s="4" t="s">
        <v>2</v>
      </c>
      <c r="E44" s="26">
        <v>0</v>
      </c>
      <c r="F44" s="26">
        <v>0</v>
      </c>
      <c r="G44" s="21">
        <f t="shared" si="0"/>
        <v>0</v>
      </c>
      <c r="H44" s="21"/>
      <c r="I44" s="21"/>
      <c r="J44" s="26">
        <v>271.43</v>
      </c>
      <c r="K44" s="26">
        <v>124.51</v>
      </c>
      <c r="L44" s="21">
        <f t="shared" si="1"/>
        <v>-146.92000000000002</v>
      </c>
      <c r="M44" s="21"/>
      <c r="N44" s="21"/>
      <c r="O44" s="26">
        <v>154</v>
      </c>
      <c r="P44" s="26">
        <v>203.339</v>
      </c>
      <c r="Q44" s="26">
        <f t="shared" si="2"/>
        <v>49.338999999999999</v>
      </c>
      <c r="R44" s="26"/>
      <c r="S44" s="26"/>
      <c r="T44" s="26">
        <v>124.505</v>
      </c>
      <c r="U44" s="26">
        <v>242.76</v>
      </c>
      <c r="V44" s="21">
        <f t="shared" si="3"/>
        <v>118.255</v>
      </c>
      <c r="W44" s="21"/>
      <c r="X44" s="5"/>
      <c r="Y44" s="26">
        <v>286.45999999999998</v>
      </c>
      <c r="Z44" s="26">
        <v>242.76</v>
      </c>
      <c r="AA44" s="21">
        <f t="shared" si="4"/>
        <v>-43.699999999999989</v>
      </c>
      <c r="AB44" s="21"/>
      <c r="AC44" s="5"/>
    </row>
    <row r="45" spans="2:29" ht="22.5" x14ac:dyDescent="0.2">
      <c r="B45" s="15" t="s">
        <v>60</v>
      </c>
      <c r="C45" s="14" t="s">
        <v>61</v>
      </c>
      <c r="D45" s="4" t="s">
        <v>2</v>
      </c>
      <c r="E45" s="26">
        <v>0</v>
      </c>
      <c r="F45" s="26">
        <v>0</v>
      </c>
      <c r="G45" s="21">
        <f t="shared" si="0"/>
        <v>0</v>
      </c>
      <c r="H45" s="21"/>
      <c r="I45" s="21"/>
      <c r="J45" s="26">
        <f>J44</f>
        <v>271.43</v>
      </c>
      <c r="K45" s="26">
        <f>K44</f>
        <v>124.51</v>
      </c>
      <c r="L45" s="21">
        <f t="shared" si="1"/>
        <v>-146.92000000000002</v>
      </c>
      <c r="M45" s="21"/>
      <c r="N45" s="21"/>
      <c r="O45" s="26">
        <v>154</v>
      </c>
      <c r="P45" s="26">
        <v>203.34</v>
      </c>
      <c r="Q45" s="21">
        <f t="shared" si="2"/>
        <v>49.34</v>
      </c>
      <c r="R45" s="21"/>
      <c r="S45" s="21"/>
      <c r="T45" s="26">
        <f>T44</f>
        <v>124.505</v>
      </c>
      <c r="U45" s="26">
        <f>U44</f>
        <v>242.76</v>
      </c>
      <c r="V45" s="21">
        <f t="shared" si="3"/>
        <v>118.255</v>
      </c>
      <c r="W45" s="21"/>
      <c r="X45" s="5"/>
      <c r="Y45" s="26">
        <f>Y44</f>
        <v>286.45999999999998</v>
      </c>
      <c r="Z45" s="26">
        <f>Z44</f>
        <v>242.76</v>
      </c>
      <c r="AA45" s="21">
        <f t="shared" si="4"/>
        <v>-43.699999999999989</v>
      </c>
      <c r="AB45" s="21"/>
      <c r="AC45" s="5"/>
    </row>
    <row r="46" spans="2:29" ht="22.5" x14ac:dyDescent="0.2">
      <c r="B46" s="15" t="s">
        <v>63</v>
      </c>
      <c r="C46" s="3" t="s">
        <v>62</v>
      </c>
      <c r="D46" s="4" t="s">
        <v>2</v>
      </c>
      <c r="E46" s="26">
        <f>E47+E48+E49</f>
        <v>562.11</v>
      </c>
      <c r="F46" s="26">
        <f>F47+F48+F49</f>
        <v>644.16499999999996</v>
      </c>
      <c r="G46" s="26">
        <f t="shared" si="0"/>
        <v>82.05499999999995</v>
      </c>
      <c r="H46" s="26"/>
      <c r="I46" s="26"/>
      <c r="J46" s="26">
        <f>J47+J48+J49</f>
        <v>701.15</v>
      </c>
      <c r="K46" s="26">
        <f>K47+K48+K49</f>
        <v>939.87</v>
      </c>
      <c r="L46" s="21">
        <f t="shared" si="1"/>
        <v>238.72000000000003</v>
      </c>
      <c r="M46" s="21"/>
      <c r="N46" s="21"/>
      <c r="O46" s="26">
        <f>O47+O48+O49</f>
        <v>806.31000000000006</v>
      </c>
      <c r="P46" s="26">
        <f>P47+P48+P49</f>
        <v>952.83</v>
      </c>
      <c r="Q46" s="26">
        <f t="shared" si="2"/>
        <v>146.51999999999998</v>
      </c>
      <c r="R46" s="26"/>
      <c r="S46" s="26"/>
      <c r="T46" s="26">
        <f>T47+T48+T49</f>
        <v>2688.9449999999997</v>
      </c>
      <c r="U46" s="26">
        <f>U47+U48+U49</f>
        <v>2910.6689999999999</v>
      </c>
      <c r="V46" s="21">
        <f t="shared" si="3"/>
        <v>221.72400000000016</v>
      </c>
      <c r="W46" s="21"/>
      <c r="X46" s="5"/>
      <c r="Y46" s="26">
        <f>Y47+Y48+Y49</f>
        <v>3118.3199999999997</v>
      </c>
      <c r="Z46" s="26">
        <f>Z47+Z48+Z49</f>
        <v>3131.26989</v>
      </c>
      <c r="AA46" s="21">
        <f t="shared" si="4"/>
        <v>12.949890000000323</v>
      </c>
      <c r="AB46" s="21"/>
      <c r="AC46" s="5"/>
    </row>
    <row r="47" spans="2:29" x14ac:dyDescent="0.2">
      <c r="B47" s="15" t="s">
        <v>64</v>
      </c>
      <c r="C47" s="14" t="s">
        <v>65</v>
      </c>
      <c r="D47" s="4" t="s">
        <v>2</v>
      </c>
      <c r="E47" s="26">
        <v>267.01</v>
      </c>
      <c r="F47" s="26">
        <v>273.98500000000001</v>
      </c>
      <c r="G47" s="21">
        <f t="shared" si="0"/>
        <v>6.9750000000000227</v>
      </c>
      <c r="H47" s="21"/>
      <c r="I47" s="21"/>
      <c r="J47" s="26">
        <v>267.12</v>
      </c>
      <c r="K47" s="26">
        <v>255.12</v>
      </c>
      <c r="L47" s="21">
        <f t="shared" si="1"/>
        <v>-12</v>
      </c>
      <c r="M47" s="21"/>
      <c r="N47" s="21"/>
      <c r="O47" s="26">
        <v>276.45</v>
      </c>
      <c r="P47" s="26">
        <v>255.44</v>
      </c>
      <c r="Q47" s="26">
        <f t="shared" si="2"/>
        <v>-21.009999999999991</v>
      </c>
      <c r="R47" s="26"/>
      <c r="S47" s="26"/>
      <c r="T47" s="26">
        <v>255.375</v>
      </c>
      <c r="U47" s="26">
        <v>254.83</v>
      </c>
      <c r="V47" s="21">
        <f t="shared" si="3"/>
        <v>-0.54499999999998749</v>
      </c>
      <c r="W47" s="21"/>
      <c r="X47" s="5"/>
      <c r="Y47" s="26">
        <v>255.44</v>
      </c>
      <c r="Z47" s="26">
        <v>250.12</v>
      </c>
      <c r="AA47" s="21">
        <f t="shared" si="4"/>
        <v>-5.3199999999999932</v>
      </c>
      <c r="AB47" s="21"/>
      <c r="AC47" s="5"/>
    </row>
    <row r="48" spans="2:29" x14ac:dyDescent="0.2">
      <c r="B48" s="15" t="s">
        <v>67</v>
      </c>
      <c r="C48" s="14" t="s">
        <v>52</v>
      </c>
      <c r="D48" s="4" t="s">
        <v>2</v>
      </c>
      <c r="E48" s="26">
        <v>226.34</v>
      </c>
      <c r="F48" s="26">
        <v>292.75</v>
      </c>
      <c r="G48" s="21">
        <f t="shared" si="0"/>
        <v>66.41</v>
      </c>
      <c r="H48" s="21"/>
      <c r="I48" s="21"/>
      <c r="J48" s="26">
        <v>358.95</v>
      </c>
      <c r="K48" s="26">
        <v>619.14</v>
      </c>
      <c r="L48" s="21">
        <f t="shared" si="1"/>
        <v>260.19</v>
      </c>
      <c r="M48" s="21"/>
      <c r="N48" s="21"/>
      <c r="O48" s="26">
        <v>452.41</v>
      </c>
      <c r="P48" s="26">
        <v>610.73</v>
      </c>
      <c r="Q48" s="26">
        <f t="shared" si="2"/>
        <v>158.32</v>
      </c>
      <c r="R48" s="26"/>
      <c r="S48" s="26"/>
      <c r="T48" s="26">
        <v>2355.1999999999998</v>
      </c>
      <c r="U48" s="26">
        <v>2585.4189999999999</v>
      </c>
      <c r="V48" s="21">
        <f t="shared" si="3"/>
        <v>230.21900000000005</v>
      </c>
      <c r="W48" s="21"/>
      <c r="X48" s="5"/>
      <c r="Y48" s="26">
        <v>2767.39</v>
      </c>
      <c r="Z48" s="26">
        <v>2813.61</v>
      </c>
      <c r="AA48" s="21">
        <f t="shared" si="4"/>
        <v>46.220000000000255</v>
      </c>
      <c r="AB48" s="21"/>
      <c r="AC48" s="5"/>
    </row>
    <row r="49" spans="2:29" x14ac:dyDescent="0.2">
      <c r="B49" s="15" t="s">
        <v>68</v>
      </c>
      <c r="C49" s="14" t="s">
        <v>53</v>
      </c>
      <c r="D49" s="4" t="s">
        <v>2</v>
      </c>
      <c r="E49" s="26">
        <v>68.760000000000005</v>
      </c>
      <c r="F49" s="26">
        <v>77.430000000000007</v>
      </c>
      <c r="G49" s="21">
        <f t="shared" si="0"/>
        <v>8.6700000000000017</v>
      </c>
      <c r="H49" s="21"/>
      <c r="I49" s="21"/>
      <c r="J49" s="26">
        <f>J50+J51</f>
        <v>75.08</v>
      </c>
      <c r="K49" s="26">
        <f>K50+K51</f>
        <v>65.61</v>
      </c>
      <c r="L49" s="21">
        <f t="shared" si="1"/>
        <v>-9.4699999999999989</v>
      </c>
      <c r="M49" s="21"/>
      <c r="N49" s="21"/>
      <c r="O49" s="26">
        <v>77.45</v>
      </c>
      <c r="P49" s="26">
        <v>86.66</v>
      </c>
      <c r="Q49" s="26">
        <f t="shared" si="2"/>
        <v>9.2099999999999937</v>
      </c>
      <c r="R49" s="26"/>
      <c r="S49" s="26"/>
      <c r="T49" s="26">
        <v>78.37</v>
      </c>
      <c r="U49" s="26">
        <f>U50+U51</f>
        <v>70.42</v>
      </c>
      <c r="V49" s="21">
        <f t="shared" si="3"/>
        <v>-7.9500000000000028</v>
      </c>
      <c r="W49" s="21"/>
      <c r="X49" s="5"/>
      <c r="Y49" s="26">
        <f>Y50+Y51</f>
        <v>95.490000000000009</v>
      </c>
      <c r="Z49" s="26">
        <f>Z50+Z51</f>
        <v>67.53989</v>
      </c>
      <c r="AA49" s="21">
        <f t="shared" si="4"/>
        <v>-27.950110000000009</v>
      </c>
      <c r="AB49" s="21"/>
      <c r="AC49" s="5"/>
    </row>
    <row r="50" spans="2:29" x14ac:dyDescent="0.2">
      <c r="B50" s="15" t="s">
        <v>102</v>
      </c>
      <c r="C50" s="16" t="s">
        <v>100</v>
      </c>
      <c r="D50" s="4" t="s">
        <v>2</v>
      </c>
      <c r="E50" s="26">
        <v>29.86</v>
      </c>
      <c r="F50" s="26">
        <v>33.33</v>
      </c>
      <c r="G50" s="21">
        <f t="shared" si="0"/>
        <v>3.4699999999999989</v>
      </c>
      <c r="H50" s="21"/>
      <c r="I50" s="21"/>
      <c r="J50" s="26">
        <v>34.47</v>
      </c>
      <c r="K50" s="26">
        <v>33.56</v>
      </c>
      <c r="L50" s="21">
        <f t="shared" si="1"/>
        <v>-0.90999999999999659</v>
      </c>
      <c r="M50" s="21"/>
      <c r="N50" s="21"/>
      <c r="O50" s="26">
        <v>33.340000000000003</v>
      </c>
      <c r="P50" s="26">
        <v>51.38</v>
      </c>
      <c r="Q50" s="26">
        <f t="shared" si="2"/>
        <v>18.04</v>
      </c>
      <c r="R50" s="26"/>
      <c r="S50" s="26"/>
      <c r="T50" s="26">
        <v>34.26</v>
      </c>
      <c r="U50" s="26">
        <v>34.25</v>
      </c>
      <c r="V50" s="21">
        <f t="shared" si="3"/>
        <v>-9.9999999999980105E-3</v>
      </c>
      <c r="W50" s="21"/>
      <c r="X50" s="5"/>
      <c r="Y50" s="26">
        <v>51.38</v>
      </c>
      <c r="Z50" s="26">
        <v>33.179000000000002</v>
      </c>
      <c r="AA50" s="21">
        <f t="shared" si="4"/>
        <v>-18.201000000000001</v>
      </c>
      <c r="AB50" s="21"/>
      <c r="AC50" s="5"/>
    </row>
    <row r="51" spans="2:29" x14ac:dyDescent="0.2">
      <c r="B51" s="15" t="s">
        <v>103</v>
      </c>
      <c r="C51" s="33" t="s">
        <v>101</v>
      </c>
      <c r="D51" s="4" t="s">
        <v>2</v>
      </c>
      <c r="E51" s="26">
        <v>38.9</v>
      </c>
      <c r="F51" s="26">
        <v>44.1</v>
      </c>
      <c r="G51" s="21">
        <f t="shared" si="0"/>
        <v>5.2000000000000028</v>
      </c>
      <c r="H51" s="21"/>
      <c r="I51" s="21"/>
      <c r="J51" s="26">
        <v>40.61</v>
      </c>
      <c r="K51" s="26">
        <v>32.049999999999997</v>
      </c>
      <c r="L51" s="21">
        <f t="shared" si="1"/>
        <v>-8.5600000000000023</v>
      </c>
      <c r="M51" s="21"/>
      <c r="N51" s="21"/>
      <c r="O51" s="26">
        <v>44.11</v>
      </c>
      <c r="P51" s="26">
        <v>35.28</v>
      </c>
      <c r="Q51" s="21">
        <f t="shared" si="2"/>
        <v>-8.8299999999999983</v>
      </c>
      <c r="R51" s="21"/>
      <c r="S51" s="21"/>
      <c r="T51" s="26">
        <v>44.11</v>
      </c>
      <c r="U51" s="26">
        <v>36.17</v>
      </c>
      <c r="V51" s="21">
        <f t="shared" si="3"/>
        <v>-7.9399999999999977</v>
      </c>
      <c r="W51" s="21"/>
      <c r="X51" s="5"/>
      <c r="Y51" s="26">
        <v>44.11</v>
      </c>
      <c r="Z51" s="26">
        <v>34.360889999999998</v>
      </c>
      <c r="AA51" s="21">
        <f t="shared" si="4"/>
        <v>-9.7491100000000017</v>
      </c>
      <c r="AB51" s="21"/>
      <c r="AC51" s="5"/>
    </row>
    <row r="52" spans="2:29" x14ac:dyDescent="0.2">
      <c r="B52" s="15" t="s">
        <v>69</v>
      </c>
      <c r="C52" s="5" t="s">
        <v>66</v>
      </c>
      <c r="D52" s="4" t="s">
        <v>2</v>
      </c>
      <c r="E52" s="26">
        <v>6312.69</v>
      </c>
      <c r="F52" s="26">
        <v>7727.81</v>
      </c>
      <c r="G52" s="21">
        <f t="shared" si="0"/>
        <v>1415.1200000000008</v>
      </c>
      <c r="H52" s="21"/>
      <c r="I52" s="21"/>
      <c r="J52" s="26">
        <v>7528.95</v>
      </c>
      <c r="K52" s="26">
        <v>8062.33</v>
      </c>
      <c r="L52" s="21">
        <f t="shared" si="1"/>
        <v>533.38000000000011</v>
      </c>
      <c r="M52" s="21"/>
      <c r="N52" s="21"/>
      <c r="O52" s="26">
        <v>7423.1</v>
      </c>
      <c r="P52" s="26">
        <v>8232</v>
      </c>
      <c r="Q52" s="26">
        <f t="shared" si="2"/>
        <v>808.89999999999964</v>
      </c>
      <c r="R52" s="26"/>
      <c r="S52" s="26"/>
      <c r="T52" s="26">
        <v>7460.82</v>
      </c>
      <c r="U52" s="26">
        <v>10869.2</v>
      </c>
      <c r="V52" s="21">
        <f t="shared" si="3"/>
        <v>3408.380000000001</v>
      </c>
      <c r="W52" s="21"/>
      <c r="X52" s="5"/>
      <c r="Y52" s="26">
        <v>7775.19</v>
      </c>
      <c r="Z52" s="26">
        <f>4380.45+5530.64+2136.48</f>
        <v>12047.57</v>
      </c>
      <c r="AA52" s="21">
        <f t="shared" si="4"/>
        <v>4272.38</v>
      </c>
      <c r="AB52" s="21"/>
      <c r="AC52" s="5"/>
    </row>
    <row r="53" spans="2:29" x14ac:dyDescent="0.2">
      <c r="B53" s="15" t="s">
        <v>70</v>
      </c>
      <c r="C53" s="5" t="s">
        <v>54</v>
      </c>
      <c r="D53" s="4" t="s">
        <v>2</v>
      </c>
      <c r="E53" s="26">
        <v>500.17</v>
      </c>
      <c r="F53" s="26">
        <f>F54+F55</f>
        <v>459.69500000000005</v>
      </c>
      <c r="G53" s="21">
        <f t="shared" si="0"/>
        <v>-40.474999999999966</v>
      </c>
      <c r="H53" s="21"/>
      <c r="I53" s="21"/>
      <c r="J53" s="26">
        <f>J54+J55+J56</f>
        <v>887.61999999999989</v>
      </c>
      <c r="K53" s="26">
        <f>K54+K55+K56</f>
        <v>232.82</v>
      </c>
      <c r="L53" s="21">
        <f t="shared" si="1"/>
        <v>-654.79999999999995</v>
      </c>
      <c r="M53" s="21"/>
      <c r="N53" s="21"/>
      <c r="O53" s="26">
        <v>509.61</v>
      </c>
      <c r="P53" s="26">
        <v>211.16</v>
      </c>
      <c r="Q53" s="26">
        <f t="shared" si="2"/>
        <v>-298.45000000000005</v>
      </c>
      <c r="R53" s="26"/>
      <c r="S53" s="26"/>
      <c r="T53" s="26">
        <v>179.82</v>
      </c>
      <c r="U53" s="26">
        <f>U54+U55+U56</f>
        <v>1289.2724900000001</v>
      </c>
      <c r="V53" s="21">
        <f t="shared" si="3"/>
        <v>1109.4524900000001</v>
      </c>
      <c r="W53" s="21"/>
      <c r="X53" s="5"/>
      <c r="Y53" s="26">
        <f>Y54+Y55+Y56</f>
        <v>211.16</v>
      </c>
      <c r="Z53" s="26">
        <f>Z54+Z55+Z56</f>
        <v>595.24</v>
      </c>
      <c r="AA53" s="21">
        <f t="shared" si="4"/>
        <v>384.08000000000004</v>
      </c>
      <c r="AB53" s="21"/>
      <c r="AC53" s="5"/>
    </row>
    <row r="54" spans="2:29" x14ac:dyDescent="0.2">
      <c r="B54" s="15" t="s">
        <v>108</v>
      </c>
      <c r="C54" s="18" t="s">
        <v>110</v>
      </c>
      <c r="D54" s="4" t="s">
        <v>2</v>
      </c>
      <c r="E54" s="26">
        <v>290.93</v>
      </c>
      <c r="F54" s="26">
        <v>148.15</v>
      </c>
      <c r="G54" s="21">
        <f t="shared" si="0"/>
        <v>-142.78</v>
      </c>
      <c r="H54" s="21"/>
      <c r="I54" s="21"/>
      <c r="J54" s="26">
        <v>311.3</v>
      </c>
      <c r="K54" s="26">
        <v>78.349999999999994</v>
      </c>
      <c r="L54" s="21">
        <f t="shared" si="1"/>
        <v>-232.95000000000002</v>
      </c>
      <c r="M54" s="21"/>
      <c r="N54" s="21"/>
      <c r="O54" s="26">
        <v>325.31</v>
      </c>
      <c r="P54" s="26">
        <v>76.98</v>
      </c>
      <c r="Q54" s="26">
        <f t="shared" si="2"/>
        <v>-248.32999999999998</v>
      </c>
      <c r="R54" s="26"/>
      <c r="S54" s="26"/>
      <c r="T54" s="26">
        <v>78.349999999999994</v>
      </c>
      <c r="U54" s="26">
        <v>485.43</v>
      </c>
      <c r="V54" s="21">
        <f t="shared" si="3"/>
        <v>407.08000000000004</v>
      </c>
      <c r="W54" s="21"/>
      <c r="X54" s="5"/>
      <c r="Y54" s="26">
        <v>80.44</v>
      </c>
      <c r="Z54" s="26">
        <v>213.59</v>
      </c>
      <c r="AA54" s="21">
        <f t="shared" si="4"/>
        <v>133.15</v>
      </c>
      <c r="AB54" s="21"/>
      <c r="AC54" s="5"/>
    </row>
    <row r="55" spans="2:29" ht="22.5" x14ac:dyDescent="0.2">
      <c r="B55" s="15" t="s">
        <v>109</v>
      </c>
      <c r="C55" s="32" t="s">
        <v>111</v>
      </c>
      <c r="D55" s="4" t="s">
        <v>2</v>
      </c>
      <c r="E55" s="26">
        <f>E53-E54</f>
        <v>209.24</v>
      </c>
      <c r="F55" s="26">
        <v>311.54500000000002</v>
      </c>
      <c r="G55" s="21">
        <f t="shared" si="0"/>
        <v>102.30500000000001</v>
      </c>
      <c r="H55" s="21"/>
      <c r="I55" s="21"/>
      <c r="J55" s="26">
        <v>300</v>
      </c>
      <c r="K55" s="26">
        <v>101.47</v>
      </c>
      <c r="L55" s="21">
        <f t="shared" si="1"/>
        <v>-198.53</v>
      </c>
      <c r="M55" s="21"/>
      <c r="N55" s="21"/>
      <c r="O55" s="26">
        <v>184.3</v>
      </c>
      <c r="P55" s="26">
        <v>134.18</v>
      </c>
      <c r="Q55" s="21">
        <f t="shared" si="2"/>
        <v>-50.120000000000005</v>
      </c>
      <c r="R55" s="21"/>
      <c r="S55" s="21"/>
      <c r="T55" s="26">
        <v>101.47</v>
      </c>
      <c r="U55" s="26">
        <v>421.7</v>
      </c>
      <c r="V55" s="21">
        <f t="shared" si="3"/>
        <v>320.23</v>
      </c>
      <c r="W55" s="21"/>
      <c r="X55" s="5"/>
      <c r="Y55" s="26">
        <v>130.72</v>
      </c>
      <c r="Z55" s="26">
        <f>134.95+144.88+10.46</f>
        <v>290.28999999999996</v>
      </c>
      <c r="AA55" s="21">
        <f t="shared" si="4"/>
        <v>159.56999999999996</v>
      </c>
      <c r="AB55" s="21"/>
      <c r="AC55" s="5"/>
    </row>
    <row r="56" spans="2:29" x14ac:dyDescent="0.2">
      <c r="B56" s="15" t="s">
        <v>112</v>
      </c>
      <c r="C56" s="32" t="s">
        <v>113</v>
      </c>
      <c r="D56" s="4" t="s">
        <v>2</v>
      </c>
      <c r="E56" s="26">
        <v>0</v>
      </c>
      <c r="F56" s="26">
        <v>0</v>
      </c>
      <c r="G56" s="21">
        <f t="shared" si="0"/>
        <v>0</v>
      </c>
      <c r="H56" s="21"/>
      <c r="I56" s="21"/>
      <c r="J56" s="26">
        <v>276.32</v>
      </c>
      <c r="K56" s="26">
        <v>53</v>
      </c>
      <c r="L56" s="21">
        <f t="shared" si="1"/>
        <v>-223.32</v>
      </c>
      <c r="M56" s="21"/>
      <c r="N56" s="21"/>
      <c r="O56" s="26">
        <v>0</v>
      </c>
      <c r="P56" s="26">
        <v>0</v>
      </c>
      <c r="Q56" s="21">
        <f t="shared" si="2"/>
        <v>0</v>
      </c>
      <c r="R56" s="21"/>
      <c r="S56" s="21"/>
      <c r="T56" s="26">
        <v>0</v>
      </c>
      <c r="U56" s="26">
        <f>124+258.14249</f>
        <v>382.14249000000001</v>
      </c>
      <c r="V56" s="21">
        <f t="shared" si="3"/>
        <v>382.14249000000001</v>
      </c>
      <c r="W56" s="21"/>
      <c r="X56" s="5"/>
      <c r="Y56" s="26">
        <v>0</v>
      </c>
      <c r="Z56" s="26">
        <f>70.99+20.37</f>
        <v>91.36</v>
      </c>
      <c r="AA56" s="21">
        <f t="shared" si="4"/>
        <v>91.36</v>
      </c>
      <c r="AB56" s="21"/>
      <c r="AC56" s="5"/>
    </row>
    <row r="57" spans="2:29" x14ac:dyDescent="0.2">
      <c r="B57" s="15" t="s">
        <v>72</v>
      </c>
      <c r="C57" s="5" t="s">
        <v>71</v>
      </c>
      <c r="D57" s="4" t="s">
        <v>2</v>
      </c>
      <c r="E57" s="26">
        <v>52.11</v>
      </c>
      <c r="F57" s="26">
        <v>77.885000000000005</v>
      </c>
      <c r="G57" s="21">
        <f t="shared" si="0"/>
        <v>25.775000000000006</v>
      </c>
      <c r="H57" s="21"/>
      <c r="I57" s="21"/>
      <c r="J57" s="26">
        <v>1317.5</v>
      </c>
      <c r="K57" s="26">
        <v>555.37</v>
      </c>
      <c r="L57" s="21">
        <f t="shared" si="1"/>
        <v>-762.13</v>
      </c>
      <c r="M57" s="21"/>
      <c r="N57" s="21"/>
      <c r="O57" s="26">
        <v>1238.3800000000001</v>
      </c>
      <c r="P57" s="26">
        <v>1193.5450000000001</v>
      </c>
      <c r="Q57" s="26">
        <f t="shared" si="2"/>
        <v>-44.835000000000036</v>
      </c>
      <c r="R57" s="26"/>
      <c r="S57" s="26"/>
      <c r="T57" s="26">
        <v>0</v>
      </c>
      <c r="U57" s="26">
        <v>0</v>
      </c>
      <c r="V57" s="21">
        <f t="shared" si="3"/>
        <v>0</v>
      </c>
      <c r="W57" s="21"/>
      <c r="X57" s="5"/>
      <c r="Y57" s="26">
        <v>0</v>
      </c>
      <c r="Z57" s="26">
        <v>0</v>
      </c>
      <c r="AA57" s="21">
        <f t="shared" si="4"/>
        <v>0</v>
      </c>
      <c r="AB57" s="21"/>
      <c r="AC57" s="5"/>
    </row>
    <row r="58" spans="2:29" ht="33.75" x14ac:dyDescent="0.2">
      <c r="B58" s="15" t="s">
        <v>73</v>
      </c>
      <c r="C58" s="3" t="s">
        <v>74</v>
      </c>
      <c r="D58" s="4" t="s">
        <v>2</v>
      </c>
      <c r="E58" s="26">
        <v>0</v>
      </c>
      <c r="F58" s="26">
        <v>0</v>
      </c>
      <c r="G58" s="26">
        <f t="shared" si="0"/>
        <v>0</v>
      </c>
      <c r="H58" s="26"/>
      <c r="I58" s="26"/>
      <c r="J58" s="26">
        <v>0</v>
      </c>
      <c r="K58" s="26">
        <v>0</v>
      </c>
      <c r="L58" s="21">
        <f t="shared" si="1"/>
        <v>0</v>
      </c>
      <c r="M58" s="21"/>
      <c r="N58" s="21"/>
      <c r="O58" s="26">
        <v>0</v>
      </c>
      <c r="P58" s="26">
        <v>0</v>
      </c>
      <c r="Q58" s="26">
        <f t="shared" si="2"/>
        <v>0</v>
      </c>
      <c r="R58" s="26"/>
      <c r="S58" s="26"/>
      <c r="T58" s="26">
        <v>0</v>
      </c>
      <c r="U58" s="26">
        <v>0</v>
      </c>
      <c r="V58" s="21">
        <f t="shared" si="3"/>
        <v>0</v>
      </c>
      <c r="W58" s="21"/>
      <c r="X58" s="5"/>
      <c r="Y58" s="26">
        <v>462.24</v>
      </c>
      <c r="Z58" s="26">
        <v>2055.3000000000002</v>
      </c>
      <c r="AA58" s="21">
        <f t="shared" si="4"/>
        <v>1593.0600000000002</v>
      </c>
      <c r="AB58" s="21"/>
      <c r="AC58" s="5"/>
    </row>
    <row r="59" spans="2:29" x14ac:dyDescent="0.2">
      <c r="B59" s="15" t="s">
        <v>76</v>
      </c>
      <c r="C59" s="5" t="s">
        <v>55</v>
      </c>
      <c r="D59" s="4" t="s">
        <v>2</v>
      </c>
      <c r="E59" s="26">
        <v>3334.12</v>
      </c>
      <c r="F59" s="26">
        <v>3364.02</v>
      </c>
      <c r="G59" s="21">
        <f t="shared" si="0"/>
        <v>29.900000000000091</v>
      </c>
      <c r="H59" s="21"/>
      <c r="I59" s="21"/>
      <c r="J59" s="26">
        <v>4220.88</v>
      </c>
      <c r="K59" s="26">
        <v>4421.05</v>
      </c>
      <c r="L59" s="21">
        <f t="shared" si="1"/>
        <v>200.17000000000007</v>
      </c>
      <c r="M59" s="21"/>
      <c r="N59" s="21"/>
      <c r="O59" s="26">
        <v>4551.09</v>
      </c>
      <c r="P59" s="26">
        <v>8626.16</v>
      </c>
      <c r="Q59" s="26">
        <f t="shared" si="2"/>
        <v>4075.0699999999997</v>
      </c>
      <c r="R59" s="26"/>
      <c r="S59" s="26"/>
      <c r="T59" s="26">
        <v>20421.45</v>
      </c>
      <c r="U59" s="26">
        <v>23388.869640000001</v>
      </c>
      <c r="V59" s="21">
        <f t="shared" si="3"/>
        <v>2967.4196400000001</v>
      </c>
      <c r="W59" s="21"/>
      <c r="X59" s="5"/>
      <c r="Y59" s="26">
        <v>23356.58</v>
      </c>
      <c r="Z59" s="26">
        <v>23727.91</v>
      </c>
      <c r="AA59" s="21">
        <f t="shared" si="4"/>
        <v>371.32999999999811</v>
      </c>
      <c r="AB59" s="21"/>
      <c r="AC59" s="5"/>
    </row>
    <row r="60" spans="2:29" x14ac:dyDescent="0.2">
      <c r="B60" s="15" t="s">
        <v>77</v>
      </c>
      <c r="C60" s="5" t="s">
        <v>56</v>
      </c>
      <c r="D60" s="4" t="s">
        <v>2</v>
      </c>
      <c r="E60" s="26">
        <v>0</v>
      </c>
      <c r="F60" s="26">
        <v>0</v>
      </c>
      <c r="G60" s="21">
        <f t="shared" si="0"/>
        <v>0</v>
      </c>
      <c r="H60" s="21"/>
      <c r="I60" s="21"/>
      <c r="J60" s="26">
        <v>4970</v>
      </c>
      <c r="K60" s="26">
        <v>2120</v>
      </c>
      <c r="L60" s="21">
        <f t="shared" si="1"/>
        <v>-2850</v>
      </c>
      <c r="M60" s="21"/>
      <c r="N60" s="21"/>
      <c r="O60" s="26">
        <v>4640</v>
      </c>
      <c r="P60" s="26">
        <v>4640</v>
      </c>
      <c r="Q60" s="26">
        <f t="shared" si="2"/>
        <v>0</v>
      </c>
      <c r="R60" s="26"/>
      <c r="S60" s="26"/>
      <c r="T60" s="26">
        <v>5050</v>
      </c>
      <c r="U60" s="26">
        <v>5050</v>
      </c>
      <c r="V60" s="21">
        <f t="shared" si="3"/>
        <v>0</v>
      </c>
      <c r="W60" s="21"/>
      <c r="X60" s="5"/>
      <c r="Y60" s="26">
        <v>0</v>
      </c>
      <c r="Z60" s="26">
        <v>0</v>
      </c>
      <c r="AA60" s="21">
        <f t="shared" si="4"/>
        <v>0</v>
      </c>
      <c r="AB60" s="21"/>
      <c r="AC60" s="5"/>
    </row>
    <row r="61" spans="2:29" ht="22.5" x14ac:dyDescent="0.2">
      <c r="B61" s="15" t="s">
        <v>78</v>
      </c>
      <c r="C61" s="3" t="s">
        <v>57</v>
      </c>
      <c r="D61" s="4" t="s">
        <v>2</v>
      </c>
      <c r="E61" s="26">
        <v>0</v>
      </c>
      <c r="F61" s="26">
        <v>0</v>
      </c>
      <c r="G61" s="21">
        <f t="shared" si="0"/>
        <v>0</v>
      </c>
      <c r="H61" s="21"/>
      <c r="I61" s="21"/>
      <c r="J61" s="26">
        <v>0</v>
      </c>
      <c r="K61" s="26">
        <v>0</v>
      </c>
      <c r="L61" s="21">
        <f t="shared" si="1"/>
        <v>0</v>
      </c>
      <c r="M61" s="21"/>
      <c r="N61" s="21"/>
      <c r="O61" s="26">
        <v>0</v>
      </c>
      <c r="P61" s="26">
        <v>0</v>
      </c>
      <c r="Q61" s="26">
        <f t="shared" si="2"/>
        <v>0</v>
      </c>
      <c r="R61" s="26"/>
      <c r="S61" s="26"/>
      <c r="T61" s="26">
        <v>0</v>
      </c>
      <c r="U61" s="26">
        <v>0</v>
      </c>
      <c r="V61" s="21">
        <f t="shared" si="3"/>
        <v>0</v>
      </c>
      <c r="W61" s="21"/>
      <c r="X61" s="5"/>
      <c r="Y61" s="26">
        <v>0</v>
      </c>
      <c r="Z61" s="26">
        <v>0</v>
      </c>
      <c r="AA61" s="21">
        <f t="shared" si="4"/>
        <v>0</v>
      </c>
      <c r="AB61" s="21"/>
      <c r="AC61" s="5"/>
    </row>
    <row r="62" spans="2:29" ht="33.75" x14ac:dyDescent="0.2">
      <c r="B62" s="12">
        <v>3</v>
      </c>
      <c r="C62" s="11" t="s">
        <v>75</v>
      </c>
      <c r="D62" s="12" t="s">
        <v>2</v>
      </c>
      <c r="E62" s="20">
        <v>2023.66</v>
      </c>
      <c r="F62" s="22" t="s">
        <v>96</v>
      </c>
      <c r="G62" s="22" t="s">
        <v>96</v>
      </c>
      <c r="H62" s="22" t="s">
        <v>96</v>
      </c>
      <c r="I62" s="22" t="s">
        <v>96</v>
      </c>
      <c r="J62" s="20">
        <v>136.22</v>
      </c>
      <c r="K62" s="22" t="s">
        <v>96</v>
      </c>
      <c r="L62" s="22" t="s">
        <v>96</v>
      </c>
      <c r="M62" s="22" t="s">
        <v>96</v>
      </c>
      <c r="N62" s="22" t="s">
        <v>96</v>
      </c>
      <c r="O62" s="20">
        <v>1429.34</v>
      </c>
      <c r="P62" s="22" t="s">
        <v>96</v>
      </c>
      <c r="Q62" s="22" t="s">
        <v>96</v>
      </c>
      <c r="R62" s="22" t="s">
        <v>96</v>
      </c>
      <c r="S62" s="22" t="s">
        <v>96</v>
      </c>
      <c r="T62" s="20">
        <v>-11290.3</v>
      </c>
      <c r="U62" s="22" t="s">
        <v>96</v>
      </c>
      <c r="V62" s="22" t="s">
        <v>96</v>
      </c>
      <c r="W62" s="22" t="s">
        <v>96</v>
      </c>
      <c r="X62" s="12" t="s">
        <v>96</v>
      </c>
      <c r="Y62" s="20">
        <v>1411.51</v>
      </c>
      <c r="Z62" s="22" t="s">
        <v>96</v>
      </c>
      <c r="AA62" s="22" t="s">
        <v>96</v>
      </c>
      <c r="AB62" s="22" t="s">
        <v>96</v>
      </c>
      <c r="AC62" s="12" t="s">
        <v>96</v>
      </c>
    </row>
    <row r="63" spans="2:29" hidden="1" x14ac:dyDescent="0.2">
      <c r="B63" s="15" t="s">
        <v>3</v>
      </c>
      <c r="C63" s="24" t="s">
        <v>10</v>
      </c>
      <c r="D63" s="4" t="s">
        <v>2</v>
      </c>
      <c r="E63" s="23"/>
      <c r="F63" s="23"/>
      <c r="G63" s="21">
        <f t="shared" si="0"/>
        <v>0</v>
      </c>
      <c r="H63" s="21"/>
      <c r="I63" s="21"/>
      <c r="J63" s="23"/>
      <c r="K63" s="23"/>
      <c r="L63" s="21">
        <f t="shared" si="1"/>
        <v>0</v>
      </c>
      <c r="M63" s="21"/>
      <c r="N63" s="21"/>
      <c r="O63" s="23"/>
      <c r="P63" s="23"/>
      <c r="Q63" s="21">
        <f t="shared" si="2"/>
        <v>0</v>
      </c>
      <c r="R63" s="21"/>
      <c r="S63" s="21"/>
      <c r="T63" s="23"/>
      <c r="U63" s="23"/>
      <c r="V63" s="21">
        <f t="shared" si="3"/>
        <v>0</v>
      </c>
      <c r="W63" s="21"/>
      <c r="X63" s="5"/>
      <c r="Y63" s="23"/>
      <c r="Z63" s="23"/>
      <c r="AA63" s="21">
        <f t="shared" ref="AA63:AA64" si="5">Z63-Y63</f>
        <v>0</v>
      </c>
      <c r="AB63" s="21"/>
      <c r="AC63" s="5"/>
    </row>
    <row r="64" spans="2:29" x14ac:dyDescent="0.2">
      <c r="B64" s="12">
        <v>4</v>
      </c>
      <c r="C64" s="11" t="s">
        <v>79</v>
      </c>
      <c r="D64" s="12" t="s">
        <v>2</v>
      </c>
      <c r="E64" s="20">
        <f>E9+E41+E62</f>
        <v>46481.89</v>
      </c>
      <c r="F64" s="20">
        <f>F9+F41</f>
        <v>49908.19</v>
      </c>
      <c r="G64" s="20">
        <f t="shared" si="0"/>
        <v>3426.3000000000029</v>
      </c>
      <c r="H64" s="20"/>
      <c r="I64" s="20"/>
      <c r="J64" s="20">
        <f>J9+J41+J62</f>
        <v>55688.89</v>
      </c>
      <c r="K64" s="20">
        <f>K9+K41</f>
        <v>55503.72</v>
      </c>
      <c r="L64" s="20">
        <f t="shared" si="1"/>
        <v>-185.16999999999825</v>
      </c>
      <c r="M64" s="20"/>
      <c r="N64" s="20"/>
      <c r="O64" s="20">
        <f>O9+O41+O62</f>
        <v>56935.61</v>
      </c>
      <c r="P64" s="20">
        <f>P9+P41</f>
        <v>61220.626000000004</v>
      </c>
      <c r="Q64" s="20">
        <f t="shared" si="2"/>
        <v>4285.0160000000033</v>
      </c>
      <c r="R64" s="20"/>
      <c r="S64" s="20"/>
      <c r="T64" s="20">
        <f>T9+T41+T62</f>
        <v>61133.849000000002</v>
      </c>
      <c r="U64" s="20">
        <f>U9+U41</f>
        <v>93672.73000000001</v>
      </c>
      <c r="V64" s="20">
        <f t="shared" si="3"/>
        <v>32538.881000000008</v>
      </c>
      <c r="W64" s="20"/>
      <c r="X64" s="13"/>
      <c r="Y64" s="20">
        <f>Y9+Y41+Y62</f>
        <v>73864.349999999991</v>
      </c>
      <c r="Z64" s="20">
        <f>Z9+Z41+0.03</f>
        <v>90418.53989</v>
      </c>
      <c r="AA64" s="20">
        <f t="shared" si="5"/>
        <v>16554.189890000009</v>
      </c>
      <c r="AB64" s="20"/>
      <c r="AC64" s="13"/>
    </row>
    <row r="66" spans="2:26" x14ac:dyDescent="0.2">
      <c r="B66" s="1" t="s">
        <v>91</v>
      </c>
      <c r="F66" s="34"/>
      <c r="J66" s="34"/>
    </row>
    <row r="68" spans="2:26" x14ac:dyDescent="0.2">
      <c r="Z68" s="34"/>
    </row>
    <row r="70" spans="2:26" x14ac:dyDescent="0.2">
      <c r="F70" s="34"/>
      <c r="U70" s="34"/>
      <c r="Z70" s="34"/>
    </row>
    <row r="73" spans="2:26" s="36" customFormat="1" ht="15.75" x14ac:dyDescent="0.25">
      <c r="B73" s="36" t="s">
        <v>127</v>
      </c>
      <c r="M73" s="36" t="s">
        <v>98</v>
      </c>
      <c r="Z73" s="36" t="s">
        <v>98</v>
      </c>
    </row>
    <row r="74" spans="2:26" s="36" customFormat="1" ht="19.5" customHeight="1" x14ac:dyDescent="0.25">
      <c r="B74" s="36" t="s">
        <v>99</v>
      </c>
    </row>
    <row r="75" spans="2:26" s="36" customFormat="1" ht="15.75" x14ac:dyDescent="0.25"/>
    <row r="76" spans="2:26" s="36" customFormat="1" ht="15.75" x14ac:dyDescent="0.25"/>
    <row r="77" spans="2:26" s="36" customFormat="1" ht="15.75" x14ac:dyDescent="0.25"/>
    <row r="78" spans="2:26" s="36" customFormat="1" ht="15.75" x14ac:dyDescent="0.25"/>
    <row r="79" spans="2:26" s="36" customFormat="1" ht="15.75" x14ac:dyDescent="0.25">
      <c r="B79" s="36" t="s">
        <v>128</v>
      </c>
      <c r="M79" s="36" t="s">
        <v>97</v>
      </c>
      <c r="Z79" s="36" t="s">
        <v>97</v>
      </c>
    </row>
    <row r="80" spans="2:26" ht="18.75" customHeight="1" x14ac:dyDescent="0.25">
      <c r="B80" s="36" t="s">
        <v>99</v>
      </c>
    </row>
  </sheetData>
  <mergeCells count="10">
    <mergeCell ref="Y6:AC6"/>
    <mergeCell ref="O4:AC4"/>
    <mergeCell ref="B2:W2"/>
    <mergeCell ref="E6:I6"/>
    <mergeCell ref="J6:N6"/>
    <mergeCell ref="T6:X6"/>
    <mergeCell ref="O6:S6"/>
    <mergeCell ref="B6:B7"/>
    <mergeCell ref="C6:C7"/>
    <mergeCell ref="D6:D7"/>
  </mergeCells>
  <pageMargins left="0.25" right="0.17" top="0.83" bottom="0.32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ДПР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Будкина</dc:creator>
  <cp:lastModifiedBy>Ларионова Е.А.</cp:lastModifiedBy>
  <cp:lastPrinted>2020-06-15T13:18:49Z</cp:lastPrinted>
  <dcterms:created xsi:type="dcterms:W3CDTF">2018-04-11T13:08:01Z</dcterms:created>
  <dcterms:modified xsi:type="dcterms:W3CDTF">2020-06-15T13:19:14Z</dcterms:modified>
</cp:coreProperties>
</file>